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ARCHIVI\GIORGIO\AUTO e MOTO\VCC Como\EVENTI\2023\CHALLEGE INTERCLUB\"/>
    </mc:Choice>
  </mc:AlternateContent>
  <xr:revisionPtr revIDLastSave="0" documentId="13_ncr:1_{D0FEBECC-1064-4B9B-B0C2-D45E5BDF725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Generale" sheetId="6" r:id="rId1"/>
    <sheet name="Nora Sciplino" sheetId="5" r:id="rId2"/>
    <sheet name="Castellotti" sheetId="9" r:id="rId3"/>
    <sheet name="Solidarietà" sheetId="10" r:id="rId4"/>
    <sheet name="Giro del Lario" sheetId="12" r:id="rId5"/>
    <sheet name="Campo dei Fiori" sheetId="13" r:id="rId6"/>
    <sheet name="Erba Ghisallo" sheetId="14" r:id="rId7"/>
    <sheet name="Ambrosiano" sheetId="15" r:id="rId8"/>
    <sheet name="Presolana" sheetId="16" r:id="rId9"/>
    <sheet name="concorrenti" sheetId="7" r:id="rId10"/>
    <sheet name="Regolamento" sheetId="3" r:id="rId11"/>
  </sheets>
  <definedNames>
    <definedName name="_xlnm._FilterDatabase" localSheetId="9" hidden="1">concorrenti!$A$1:$J$88</definedName>
    <definedName name="_xlnm._FilterDatabase" localSheetId="0" hidden="1">Generale!$A$4:$U$114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7" l="1"/>
  <c r="J2" i="7"/>
  <c r="I3" i="7"/>
  <c r="J3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82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4" i="6"/>
  <c r="F85" i="6"/>
  <c r="F86" i="6"/>
  <c r="F87" i="6"/>
  <c r="F88" i="6"/>
  <c r="F89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91" i="6"/>
  <c r="F68" i="6"/>
  <c r="F92" i="6"/>
  <c r="F93" i="6"/>
  <c r="F94" i="6"/>
  <c r="F95" i="6"/>
  <c r="F96" i="6"/>
  <c r="F97" i="6"/>
  <c r="F98" i="6"/>
  <c r="F99" i="6"/>
  <c r="F100" i="6"/>
  <c r="F101" i="6"/>
  <c r="F90" i="6"/>
  <c r="O60" i="5"/>
  <c r="B46" i="5"/>
  <c r="H46" i="5" s="1"/>
  <c r="I46" i="5" s="1"/>
  <c r="L58" i="5"/>
  <c r="M58" i="5"/>
  <c r="N58" i="5"/>
  <c r="O58" i="5"/>
  <c r="Q58" i="5"/>
  <c r="Q12" i="5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12" i="9"/>
  <c r="K4" i="6"/>
  <c r="I3" i="6"/>
  <c r="I4" i="6" s="1"/>
  <c r="J3" i="6"/>
  <c r="J4" i="6" s="1"/>
  <c r="K3" i="6"/>
  <c r="L3" i="6"/>
  <c r="L4" i="6" s="1"/>
  <c r="M3" i="6"/>
  <c r="M4" i="6" s="1"/>
  <c r="O67" i="9"/>
  <c r="B13" i="5"/>
  <c r="H13" i="5" s="1"/>
  <c r="B14" i="5"/>
  <c r="H14" i="5" s="1"/>
  <c r="B15" i="5"/>
  <c r="H15" i="5" s="1"/>
  <c r="B18" i="5"/>
  <c r="H18" i="5" s="1"/>
  <c r="B16" i="5"/>
  <c r="H16" i="5" s="1"/>
  <c r="B17" i="5"/>
  <c r="H17" i="5" s="1"/>
  <c r="B19" i="5"/>
  <c r="H19" i="5" s="1"/>
  <c r="B21" i="5"/>
  <c r="H21" i="5" s="1"/>
  <c r="B22" i="5"/>
  <c r="H22" i="5" s="1"/>
  <c r="B20" i="5"/>
  <c r="H20" i="5" s="1"/>
  <c r="B23" i="5"/>
  <c r="H23" i="5" s="1"/>
  <c r="B24" i="5"/>
  <c r="H24" i="5" s="1"/>
  <c r="B25" i="5"/>
  <c r="H25" i="5" s="1"/>
  <c r="B26" i="5"/>
  <c r="H26" i="5" s="1"/>
  <c r="B27" i="5"/>
  <c r="H27" i="5" s="1"/>
  <c r="B28" i="5"/>
  <c r="H28" i="5" s="1"/>
  <c r="B29" i="5"/>
  <c r="H29" i="5" s="1"/>
  <c r="B30" i="5"/>
  <c r="H30" i="5" s="1"/>
  <c r="B31" i="5"/>
  <c r="H31" i="5" s="1"/>
  <c r="B32" i="5"/>
  <c r="H32" i="5" s="1"/>
  <c r="B33" i="5"/>
  <c r="H33" i="5" s="1"/>
  <c r="B34" i="5"/>
  <c r="H34" i="5" s="1"/>
  <c r="B35" i="5"/>
  <c r="H35" i="5" s="1"/>
  <c r="B36" i="5"/>
  <c r="H36" i="5" s="1"/>
  <c r="B37" i="5"/>
  <c r="H37" i="5" s="1"/>
  <c r="B38" i="5"/>
  <c r="H38" i="5" s="1"/>
  <c r="B39" i="5"/>
  <c r="H39" i="5" s="1"/>
  <c r="B40" i="5"/>
  <c r="H40" i="5" s="1"/>
  <c r="B41" i="5"/>
  <c r="H41" i="5" s="1"/>
  <c r="B42" i="5"/>
  <c r="H42" i="5" s="1"/>
  <c r="B43" i="5"/>
  <c r="H43" i="5" s="1"/>
  <c r="B44" i="5"/>
  <c r="H44" i="5" s="1"/>
  <c r="B45" i="5"/>
  <c r="H45" i="5" s="1"/>
  <c r="B47" i="5"/>
  <c r="H47" i="5" s="1"/>
  <c r="B48" i="5"/>
  <c r="H48" i="5" s="1"/>
  <c r="B49" i="5"/>
  <c r="H49" i="5" s="1"/>
  <c r="B50" i="5"/>
  <c r="H50" i="5" s="1"/>
  <c r="B51" i="5"/>
  <c r="H51" i="5" s="1"/>
  <c r="B52" i="5"/>
  <c r="H52" i="5" s="1"/>
  <c r="B53" i="5"/>
  <c r="H53" i="5" s="1"/>
  <c r="B54" i="5"/>
  <c r="H54" i="5" s="1"/>
  <c r="B55" i="5"/>
  <c r="H55" i="5" s="1"/>
  <c r="B56" i="5"/>
  <c r="H56" i="5" s="1"/>
  <c r="B58" i="5"/>
  <c r="H58" i="5" s="1"/>
  <c r="B57" i="5"/>
  <c r="H57" i="5" s="1"/>
  <c r="B12" i="5"/>
  <c r="H12" i="5" s="1"/>
  <c r="D6" i="6"/>
  <c r="D8" i="6"/>
  <c r="D7" i="6"/>
  <c r="D9" i="6"/>
  <c r="D10" i="6"/>
  <c r="D11" i="6"/>
  <c r="D13" i="6"/>
  <c r="D12" i="6"/>
  <c r="D14" i="6"/>
  <c r="D15" i="6"/>
  <c r="D16" i="6"/>
  <c r="D17" i="6"/>
  <c r="D18" i="6"/>
  <c r="D19" i="6"/>
  <c r="D20" i="6"/>
  <c r="D21" i="6"/>
  <c r="D22" i="6"/>
  <c r="D23" i="6"/>
  <c r="D24" i="6"/>
  <c r="D26" i="6"/>
  <c r="D25" i="6"/>
  <c r="D27" i="6"/>
  <c r="D28" i="6"/>
  <c r="D29" i="6"/>
  <c r="D30" i="6"/>
  <c r="D31" i="6"/>
  <c r="D32" i="6"/>
  <c r="D34" i="6"/>
  <c r="D33" i="6"/>
  <c r="D35" i="6"/>
  <c r="D36" i="6"/>
  <c r="D37" i="6"/>
  <c r="D39" i="6"/>
  <c r="D38" i="6"/>
  <c r="D41" i="6"/>
  <c r="D4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82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3" i="6"/>
  <c r="D84" i="6"/>
  <c r="D85" i="6"/>
  <c r="D86" i="6"/>
  <c r="D87" i="6"/>
  <c r="D88" i="6"/>
  <c r="D89" i="6"/>
  <c r="D90" i="6"/>
  <c r="D91" i="6"/>
  <c r="D68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5" i="6"/>
  <c r="G36" i="6"/>
  <c r="G37" i="6"/>
  <c r="G39" i="6"/>
  <c r="G42" i="6"/>
  <c r="G44" i="6"/>
  <c r="G45" i="6"/>
  <c r="G46" i="6"/>
  <c r="G48" i="6"/>
  <c r="G24" i="6"/>
  <c r="G51" i="6"/>
  <c r="G53" i="6"/>
  <c r="G55" i="6"/>
  <c r="G57" i="6"/>
  <c r="G38" i="6"/>
  <c r="G59" i="6"/>
  <c r="G62" i="6"/>
  <c r="G33" i="6"/>
  <c r="G82" i="6"/>
  <c r="G83" i="6"/>
  <c r="G84" i="6"/>
  <c r="G85" i="6"/>
  <c r="G40" i="6"/>
  <c r="G86" i="6"/>
  <c r="G87" i="6"/>
  <c r="G67" i="6"/>
  <c r="G88" i="6"/>
  <c r="G89" i="6"/>
  <c r="G90" i="6"/>
  <c r="G91" i="6"/>
  <c r="G13" i="6"/>
  <c r="G14" i="6"/>
  <c r="G16" i="6"/>
  <c r="G19" i="6"/>
  <c r="G21" i="6"/>
  <c r="G22" i="6"/>
  <c r="G26" i="6"/>
  <c r="G28" i="6"/>
  <c r="G30" i="6"/>
  <c r="G31" i="6"/>
  <c r="G34" i="6"/>
  <c r="G35" i="6"/>
  <c r="G69" i="6"/>
  <c r="G41" i="6"/>
  <c r="G43" i="6"/>
  <c r="G47" i="6"/>
  <c r="G49" i="6"/>
  <c r="G50" i="6"/>
  <c r="G52" i="6"/>
  <c r="G54" i="6"/>
  <c r="G56" i="6"/>
  <c r="G58" i="6"/>
  <c r="G60" i="6"/>
  <c r="G61" i="6"/>
  <c r="G63" i="6"/>
  <c r="G64" i="6"/>
  <c r="G65" i="6"/>
  <c r="G66" i="6"/>
  <c r="G70" i="6"/>
  <c r="G71" i="6"/>
  <c r="G72" i="6"/>
  <c r="G73" i="6"/>
  <c r="G74" i="6"/>
  <c r="G75" i="6"/>
  <c r="G76" i="6"/>
  <c r="G77" i="6"/>
  <c r="G78" i="6"/>
  <c r="G79" i="6"/>
  <c r="G80" i="6"/>
  <c r="G81" i="6"/>
  <c r="G68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5" i="6"/>
  <c r="G17" i="6"/>
  <c r="G18" i="6"/>
  <c r="G20" i="6"/>
  <c r="G6" i="6"/>
  <c r="G7" i="6"/>
  <c r="G23" i="6"/>
  <c r="G9" i="6"/>
  <c r="G10" i="6"/>
  <c r="G8" i="6"/>
  <c r="G25" i="6"/>
  <c r="G27" i="6"/>
  <c r="G29" i="6"/>
  <c r="G12" i="6"/>
  <c r="G32" i="6"/>
  <c r="G15" i="6"/>
  <c r="G11" i="6"/>
  <c r="E34" i="6"/>
  <c r="E35" i="6"/>
  <c r="E69" i="6"/>
  <c r="G2" i="6"/>
  <c r="F3" i="6" l="1"/>
  <c r="G3" i="6"/>
  <c r="B13" i="9"/>
  <c r="H13" i="9" s="1"/>
  <c r="B14" i="9"/>
  <c r="H14" i="9" s="1"/>
  <c r="I14" i="9" s="1"/>
  <c r="B15" i="9"/>
  <c r="H15" i="9" s="1"/>
  <c r="B16" i="9"/>
  <c r="H16" i="9" s="1"/>
  <c r="I16" i="9" s="1"/>
  <c r="B17" i="9"/>
  <c r="H17" i="9" s="1"/>
  <c r="B19" i="9"/>
  <c r="H19" i="9" s="1"/>
  <c r="B18" i="9"/>
  <c r="H18" i="9" s="1"/>
  <c r="B20" i="9"/>
  <c r="H20" i="9" s="1"/>
  <c r="B22" i="9"/>
  <c r="H22" i="9" s="1"/>
  <c r="B21" i="9"/>
  <c r="H21" i="9" s="1"/>
  <c r="I21" i="9" s="1"/>
  <c r="B23" i="9"/>
  <c r="H23" i="9" s="1"/>
  <c r="B24" i="9"/>
  <c r="H24" i="9" s="1"/>
  <c r="B25" i="9"/>
  <c r="H25" i="9" s="1"/>
  <c r="I25" i="9" s="1"/>
  <c r="B26" i="9"/>
  <c r="H26" i="9" s="1"/>
  <c r="B27" i="9"/>
  <c r="H27" i="9" s="1"/>
  <c r="B29" i="9"/>
  <c r="H29" i="9" s="1"/>
  <c r="I29" i="9" s="1"/>
  <c r="B28" i="9"/>
  <c r="H28" i="9" s="1"/>
  <c r="B32" i="9"/>
  <c r="H32" i="9" s="1"/>
  <c r="B30" i="9"/>
  <c r="H30" i="9" s="1"/>
  <c r="B31" i="9"/>
  <c r="H31" i="9" s="1"/>
  <c r="I31" i="9" s="1"/>
  <c r="B33" i="9"/>
  <c r="H33" i="9" s="1"/>
  <c r="B34" i="9"/>
  <c r="H34" i="9" s="1"/>
  <c r="I34" i="9" s="1"/>
  <c r="B35" i="9"/>
  <c r="H35" i="9" s="1"/>
  <c r="B37" i="9"/>
  <c r="H37" i="9" s="1"/>
  <c r="B36" i="9"/>
  <c r="H36" i="9" s="1"/>
  <c r="B38" i="9"/>
  <c r="H38" i="9" s="1"/>
  <c r="B41" i="9"/>
  <c r="H41" i="9" s="1"/>
  <c r="B40" i="9"/>
  <c r="H40" i="9" s="1"/>
  <c r="B39" i="9"/>
  <c r="H39" i="9" s="1"/>
  <c r="B43" i="9"/>
  <c r="H43" i="9" s="1"/>
  <c r="B42" i="9"/>
  <c r="H42" i="9" s="1"/>
  <c r="B44" i="9"/>
  <c r="H44" i="9" s="1"/>
  <c r="I44" i="9" s="1"/>
  <c r="B45" i="9"/>
  <c r="H45" i="9" s="1"/>
  <c r="B46" i="9"/>
  <c r="H46" i="9" s="1"/>
  <c r="B47" i="9"/>
  <c r="H47" i="9" s="1"/>
  <c r="B48" i="9"/>
  <c r="H48" i="9" s="1"/>
  <c r="I48" i="9" s="1"/>
  <c r="B49" i="9"/>
  <c r="H49" i="9" s="1"/>
  <c r="B50" i="9"/>
  <c r="H50" i="9" s="1"/>
  <c r="B51" i="9"/>
  <c r="H51" i="9" s="1"/>
  <c r="B52" i="9"/>
  <c r="H52" i="9" s="1"/>
  <c r="B53" i="9"/>
  <c r="H53" i="9" s="1"/>
  <c r="B54" i="9"/>
  <c r="H54" i="9" s="1"/>
  <c r="I54" i="9" s="1"/>
  <c r="B55" i="9"/>
  <c r="H55" i="9" s="1"/>
  <c r="I55" i="9" s="1"/>
  <c r="B56" i="9"/>
  <c r="H56" i="9" s="1"/>
  <c r="B57" i="9"/>
  <c r="H57" i="9" s="1"/>
  <c r="B59" i="9"/>
  <c r="H59" i="9" s="1"/>
  <c r="B60" i="9"/>
  <c r="H60" i="9" s="1"/>
  <c r="B58" i="9"/>
  <c r="H58" i="9" s="1"/>
  <c r="B61" i="9"/>
  <c r="H61" i="9" s="1"/>
  <c r="I61" i="9" s="1"/>
  <c r="B62" i="9"/>
  <c r="H62" i="9" s="1"/>
  <c r="B63" i="9"/>
  <c r="H63" i="9" s="1"/>
  <c r="I63" i="9" s="1"/>
  <c r="B64" i="9"/>
  <c r="H64" i="9" s="1"/>
  <c r="B65" i="9"/>
  <c r="H65" i="9" s="1"/>
  <c r="B66" i="9"/>
  <c r="H66" i="9" s="1"/>
  <c r="I66" i="9" s="1"/>
  <c r="B12" i="9"/>
  <c r="H12" i="9" s="1"/>
  <c r="I12" i="9" s="1"/>
  <c r="G64" i="9"/>
  <c r="G63" i="9"/>
  <c r="G62" i="9"/>
  <c r="G56" i="9"/>
  <c r="G55" i="9"/>
  <c r="G54" i="9"/>
  <c r="G53" i="9"/>
  <c r="O53" i="9" s="1"/>
  <c r="G52" i="9"/>
  <c r="G51" i="9"/>
  <c r="G50" i="9"/>
  <c r="G49" i="9"/>
  <c r="G48" i="9"/>
  <c r="G47" i="9"/>
  <c r="G46" i="9"/>
  <c r="G45" i="9"/>
  <c r="G44" i="9"/>
  <c r="E42" i="9"/>
  <c r="G43" i="9"/>
  <c r="G39" i="9"/>
  <c r="G40" i="9"/>
  <c r="G41" i="9"/>
  <c r="G38" i="9"/>
  <c r="G36" i="9"/>
  <c r="G37" i="9"/>
  <c r="G35" i="9"/>
  <c r="G34" i="9"/>
  <c r="G33" i="9"/>
  <c r="G31" i="9"/>
  <c r="G30" i="9"/>
  <c r="G32" i="9"/>
  <c r="G28" i="9"/>
  <c r="G29" i="9"/>
  <c r="G27" i="9"/>
  <c r="G26" i="9"/>
  <c r="G25" i="9"/>
  <c r="E24" i="9"/>
  <c r="G23" i="9"/>
  <c r="G21" i="9"/>
  <c r="G22" i="9"/>
  <c r="G20" i="9"/>
  <c r="G18" i="9"/>
  <c r="G19" i="9"/>
  <c r="G17" i="9"/>
  <c r="G16" i="9"/>
  <c r="G15" i="9"/>
  <c r="E13" i="6"/>
  <c r="E14" i="6"/>
  <c r="E16" i="6"/>
  <c r="E19" i="6"/>
  <c r="E21" i="6"/>
  <c r="E22" i="6"/>
  <c r="E26" i="6"/>
  <c r="E28" i="6"/>
  <c r="E30" i="6"/>
  <c r="E31" i="6"/>
  <c r="E41" i="6"/>
  <c r="E43" i="6"/>
  <c r="E47" i="6"/>
  <c r="E49" i="6"/>
  <c r="E50" i="6"/>
  <c r="E52" i="6"/>
  <c r="E54" i="6"/>
  <c r="E56" i="6"/>
  <c r="E58" i="6"/>
  <c r="E60" i="6"/>
  <c r="E61" i="6"/>
  <c r="E63" i="6"/>
  <c r="E64" i="6"/>
  <c r="E65" i="6"/>
  <c r="E66" i="6"/>
  <c r="E70" i="6"/>
  <c r="E71" i="6"/>
  <c r="E72" i="6"/>
  <c r="E73" i="6"/>
  <c r="E74" i="6"/>
  <c r="E75" i="6"/>
  <c r="E76" i="6"/>
  <c r="E77" i="6"/>
  <c r="E78" i="6"/>
  <c r="E79" i="6"/>
  <c r="E80" i="6"/>
  <c r="E81" i="6"/>
  <c r="E68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7" i="6"/>
  <c r="E18" i="6"/>
  <c r="E20" i="6"/>
  <c r="E6" i="6"/>
  <c r="E7" i="6"/>
  <c r="E23" i="6"/>
  <c r="E9" i="6"/>
  <c r="E10" i="6"/>
  <c r="E8" i="6"/>
  <c r="E25" i="6"/>
  <c r="E27" i="6"/>
  <c r="E29" i="6"/>
  <c r="E12" i="6"/>
  <c r="E32" i="6"/>
  <c r="E15" i="6"/>
  <c r="E11" i="6"/>
  <c r="E36" i="6"/>
  <c r="E37" i="6"/>
  <c r="E39" i="6"/>
  <c r="E42" i="6"/>
  <c r="E44" i="6"/>
  <c r="E45" i="6"/>
  <c r="E46" i="6"/>
  <c r="E48" i="6"/>
  <c r="E24" i="6"/>
  <c r="E51" i="6"/>
  <c r="E53" i="6"/>
  <c r="E55" i="6"/>
  <c r="E57" i="6"/>
  <c r="E38" i="6"/>
  <c r="E59" i="6"/>
  <c r="E62" i="6"/>
  <c r="E33" i="6"/>
  <c r="E82" i="6"/>
  <c r="E83" i="6"/>
  <c r="E84" i="6"/>
  <c r="E85" i="6"/>
  <c r="E40" i="6"/>
  <c r="E86" i="6"/>
  <c r="E87" i="6"/>
  <c r="E67" i="6"/>
  <c r="E88" i="6"/>
  <c r="E89" i="6"/>
  <c r="E90" i="6"/>
  <c r="E91" i="6"/>
  <c r="E5" i="6"/>
  <c r="L45" i="9"/>
  <c r="M45" i="9"/>
  <c r="N45" i="9"/>
  <c r="L46" i="9"/>
  <c r="M46" i="9"/>
  <c r="N46" i="9"/>
  <c r="L47" i="9"/>
  <c r="M47" i="9"/>
  <c r="N47" i="9"/>
  <c r="L48" i="9"/>
  <c r="M48" i="9"/>
  <c r="N48" i="9"/>
  <c r="L49" i="9"/>
  <c r="M49" i="9"/>
  <c r="O49" i="9" s="1"/>
  <c r="N49" i="9"/>
  <c r="L50" i="9"/>
  <c r="M50" i="9"/>
  <c r="N50" i="9"/>
  <c r="L51" i="9"/>
  <c r="M51" i="9"/>
  <c r="N51" i="9"/>
  <c r="L52" i="9"/>
  <c r="M52" i="9"/>
  <c r="N52" i="9"/>
  <c r="L53" i="9"/>
  <c r="M53" i="9"/>
  <c r="N53" i="9"/>
  <c r="L54" i="9"/>
  <c r="M54" i="9"/>
  <c r="N54" i="9"/>
  <c r="O54" i="9"/>
  <c r="L55" i="9"/>
  <c r="M55" i="9"/>
  <c r="N55" i="9"/>
  <c r="I32" i="9"/>
  <c r="L56" i="9"/>
  <c r="M56" i="9"/>
  <c r="N56" i="9"/>
  <c r="O56" i="9" s="1"/>
  <c r="L57" i="9"/>
  <c r="M57" i="9"/>
  <c r="N57" i="9"/>
  <c r="L58" i="9"/>
  <c r="M58" i="9"/>
  <c r="N58" i="9"/>
  <c r="L59" i="9"/>
  <c r="M59" i="9"/>
  <c r="N59" i="9"/>
  <c r="L60" i="9"/>
  <c r="M60" i="9"/>
  <c r="N60" i="9"/>
  <c r="O60" i="9"/>
  <c r="L61" i="9"/>
  <c r="M61" i="9"/>
  <c r="N61" i="9"/>
  <c r="L62" i="9"/>
  <c r="M62" i="9"/>
  <c r="N62" i="9"/>
  <c r="L63" i="9"/>
  <c r="O63" i="9" s="1"/>
  <c r="M63" i="9"/>
  <c r="N63" i="9"/>
  <c r="L64" i="9"/>
  <c r="M64" i="9"/>
  <c r="N64" i="9"/>
  <c r="L65" i="9"/>
  <c r="M65" i="9"/>
  <c r="N65" i="9"/>
  <c r="O65" i="9" s="1"/>
  <c r="L66" i="9"/>
  <c r="M66" i="9"/>
  <c r="N66" i="9"/>
  <c r="O121" i="6"/>
  <c r="O124" i="6"/>
  <c r="O123" i="6"/>
  <c r="O126" i="6"/>
  <c r="O122" i="6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12" i="16"/>
  <c r="O12" i="15"/>
  <c r="O12" i="14"/>
  <c r="O12" i="13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12" i="12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12" i="10"/>
  <c r="N65" i="16"/>
  <c r="M65" i="16"/>
  <c r="L65" i="16"/>
  <c r="H65" i="16"/>
  <c r="I65" i="16" s="1"/>
  <c r="N64" i="16"/>
  <c r="M64" i="16"/>
  <c r="L64" i="16"/>
  <c r="H64" i="16"/>
  <c r="I64" i="16" s="1"/>
  <c r="N63" i="16"/>
  <c r="M63" i="16"/>
  <c r="L63" i="16"/>
  <c r="H63" i="16"/>
  <c r="I63" i="16" s="1"/>
  <c r="N62" i="16"/>
  <c r="M62" i="16"/>
  <c r="L62" i="16"/>
  <c r="H62" i="16"/>
  <c r="I62" i="16" s="1"/>
  <c r="N61" i="16"/>
  <c r="M61" i="16"/>
  <c r="L61" i="16"/>
  <c r="H61" i="16"/>
  <c r="I61" i="16" s="1"/>
  <c r="N60" i="16"/>
  <c r="M60" i="16"/>
  <c r="L60" i="16"/>
  <c r="H60" i="16"/>
  <c r="I60" i="16" s="1"/>
  <c r="N59" i="16"/>
  <c r="M59" i="16"/>
  <c r="L59" i="16"/>
  <c r="H59" i="16"/>
  <c r="I59" i="16" s="1"/>
  <c r="N58" i="16"/>
  <c r="M58" i="16"/>
  <c r="L58" i="16"/>
  <c r="H58" i="16"/>
  <c r="I58" i="16" s="1"/>
  <c r="N57" i="16"/>
  <c r="M57" i="16"/>
  <c r="L57" i="16"/>
  <c r="H57" i="16"/>
  <c r="I57" i="16" s="1"/>
  <c r="N56" i="16"/>
  <c r="M56" i="16"/>
  <c r="L56" i="16"/>
  <c r="H56" i="16"/>
  <c r="I56" i="16" s="1"/>
  <c r="N55" i="16"/>
  <c r="M55" i="16"/>
  <c r="L55" i="16"/>
  <c r="H55" i="16"/>
  <c r="I55" i="16" s="1"/>
  <c r="N54" i="16"/>
  <c r="M54" i="16"/>
  <c r="L54" i="16"/>
  <c r="H54" i="16"/>
  <c r="I54" i="16" s="1"/>
  <c r="N53" i="16"/>
  <c r="M53" i="16"/>
  <c r="L53" i="16"/>
  <c r="H53" i="16"/>
  <c r="I53" i="16" s="1"/>
  <c r="N52" i="16"/>
  <c r="M52" i="16"/>
  <c r="L52" i="16"/>
  <c r="H52" i="16"/>
  <c r="I52" i="16" s="1"/>
  <c r="N51" i="16"/>
  <c r="M51" i="16"/>
  <c r="L51" i="16"/>
  <c r="H51" i="16"/>
  <c r="I51" i="16" s="1"/>
  <c r="N50" i="16"/>
  <c r="M50" i="16"/>
  <c r="L50" i="16"/>
  <c r="H50" i="16"/>
  <c r="I50" i="16" s="1"/>
  <c r="N49" i="16"/>
  <c r="M49" i="16"/>
  <c r="L49" i="16"/>
  <c r="H49" i="16"/>
  <c r="I49" i="16" s="1"/>
  <c r="N48" i="16"/>
  <c r="M48" i="16"/>
  <c r="L48" i="16"/>
  <c r="H48" i="16"/>
  <c r="I48" i="16" s="1"/>
  <c r="N47" i="16"/>
  <c r="M47" i="16"/>
  <c r="L47" i="16"/>
  <c r="H47" i="16"/>
  <c r="I47" i="16" s="1"/>
  <c r="N46" i="16"/>
  <c r="M46" i="16"/>
  <c r="L46" i="16"/>
  <c r="H46" i="16"/>
  <c r="I46" i="16" s="1"/>
  <c r="N45" i="16"/>
  <c r="M45" i="16"/>
  <c r="L45" i="16"/>
  <c r="H45" i="16"/>
  <c r="I45" i="16" s="1"/>
  <c r="N44" i="16"/>
  <c r="M44" i="16"/>
  <c r="L44" i="16"/>
  <c r="H44" i="16"/>
  <c r="I44" i="16" s="1"/>
  <c r="N43" i="16"/>
  <c r="M43" i="16"/>
  <c r="L43" i="16"/>
  <c r="H43" i="16"/>
  <c r="I43" i="16" s="1"/>
  <c r="N42" i="16"/>
  <c r="M42" i="16"/>
  <c r="L42" i="16"/>
  <c r="H42" i="16"/>
  <c r="I42" i="16" s="1"/>
  <c r="N41" i="16"/>
  <c r="M41" i="16"/>
  <c r="L41" i="16"/>
  <c r="H41" i="16"/>
  <c r="I41" i="16" s="1"/>
  <c r="N40" i="16"/>
  <c r="M40" i="16"/>
  <c r="L40" i="16"/>
  <c r="H40" i="16"/>
  <c r="I40" i="16" s="1"/>
  <c r="N39" i="16"/>
  <c r="M39" i="16"/>
  <c r="L39" i="16"/>
  <c r="H39" i="16"/>
  <c r="I39" i="16" s="1"/>
  <c r="N38" i="16"/>
  <c r="M38" i="16"/>
  <c r="L38" i="16"/>
  <c r="H38" i="16"/>
  <c r="I38" i="16" s="1"/>
  <c r="N37" i="16"/>
  <c r="M37" i="16"/>
  <c r="L37" i="16"/>
  <c r="H37" i="16"/>
  <c r="I37" i="16" s="1"/>
  <c r="N36" i="16"/>
  <c r="M36" i="16"/>
  <c r="L36" i="16"/>
  <c r="H36" i="16"/>
  <c r="I36" i="16" s="1"/>
  <c r="N35" i="16"/>
  <c r="M35" i="16"/>
  <c r="L35" i="16"/>
  <c r="H35" i="16"/>
  <c r="I35" i="16" s="1"/>
  <c r="N34" i="16"/>
  <c r="M34" i="16"/>
  <c r="L34" i="16"/>
  <c r="H34" i="16"/>
  <c r="I34" i="16" s="1"/>
  <c r="N33" i="16"/>
  <c r="M33" i="16"/>
  <c r="L33" i="16"/>
  <c r="H33" i="16"/>
  <c r="I33" i="16" s="1"/>
  <c r="N32" i="16"/>
  <c r="M32" i="16"/>
  <c r="L32" i="16"/>
  <c r="H32" i="16"/>
  <c r="I32" i="16" s="1"/>
  <c r="N31" i="16"/>
  <c r="M31" i="16"/>
  <c r="L31" i="16"/>
  <c r="H31" i="16"/>
  <c r="I31" i="16" s="1"/>
  <c r="N30" i="16"/>
  <c r="M30" i="16"/>
  <c r="L30" i="16"/>
  <c r="H30" i="16"/>
  <c r="I30" i="16" s="1"/>
  <c r="N29" i="16"/>
  <c r="M29" i="16"/>
  <c r="L29" i="16"/>
  <c r="H29" i="16"/>
  <c r="I29" i="16" s="1"/>
  <c r="N28" i="16"/>
  <c r="M28" i="16"/>
  <c r="L28" i="16"/>
  <c r="H28" i="16"/>
  <c r="I28" i="16" s="1"/>
  <c r="N27" i="16"/>
  <c r="M27" i="16"/>
  <c r="L27" i="16"/>
  <c r="H27" i="16"/>
  <c r="I27" i="16" s="1"/>
  <c r="N26" i="16"/>
  <c r="M26" i="16"/>
  <c r="L26" i="16"/>
  <c r="H26" i="16"/>
  <c r="I26" i="16" s="1"/>
  <c r="N25" i="16"/>
  <c r="M25" i="16"/>
  <c r="L25" i="16"/>
  <c r="H25" i="16"/>
  <c r="I25" i="16" s="1"/>
  <c r="N24" i="16"/>
  <c r="M24" i="16"/>
  <c r="L24" i="16"/>
  <c r="H24" i="16"/>
  <c r="I24" i="16" s="1"/>
  <c r="N23" i="16"/>
  <c r="M23" i="16"/>
  <c r="L23" i="16"/>
  <c r="H23" i="16"/>
  <c r="I23" i="16" s="1"/>
  <c r="N22" i="16"/>
  <c r="M22" i="16"/>
  <c r="L22" i="16"/>
  <c r="H22" i="16"/>
  <c r="I22" i="16" s="1"/>
  <c r="N21" i="16"/>
  <c r="M21" i="16"/>
  <c r="L21" i="16"/>
  <c r="H21" i="16"/>
  <c r="I21" i="16" s="1"/>
  <c r="N20" i="16"/>
  <c r="M20" i="16"/>
  <c r="L20" i="16"/>
  <c r="H20" i="16"/>
  <c r="I20" i="16" s="1"/>
  <c r="N19" i="16"/>
  <c r="M19" i="16"/>
  <c r="L19" i="16"/>
  <c r="H19" i="16"/>
  <c r="I19" i="16" s="1"/>
  <c r="N18" i="16"/>
  <c r="M18" i="16"/>
  <c r="L18" i="16"/>
  <c r="H18" i="16"/>
  <c r="I18" i="16" s="1"/>
  <c r="N17" i="16"/>
  <c r="M17" i="16"/>
  <c r="L17" i="16"/>
  <c r="H17" i="16"/>
  <c r="I17" i="16" s="1"/>
  <c r="N16" i="16"/>
  <c r="M16" i="16"/>
  <c r="L16" i="16"/>
  <c r="H16" i="16"/>
  <c r="I16" i="16" s="1"/>
  <c r="N15" i="16"/>
  <c r="M15" i="16"/>
  <c r="L15" i="16"/>
  <c r="H15" i="16"/>
  <c r="I15" i="16" s="1"/>
  <c r="N14" i="16"/>
  <c r="M14" i="16"/>
  <c r="L14" i="16"/>
  <c r="H14" i="16"/>
  <c r="I14" i="16" s="1"/>
  <c r="N13" i="16"/>
  <c r="M13" i="16"/>
  <c r="L13" i="16"/>
  <c r="H13" i="16"/>
  <c r="I13" i="16" s="1"/>
  <c r="N12" i="16"/>
  <c r="M12" i="16"/>
  <c r="L12" i="16"/>
  <c r="H12" i="16"/>
  <c r="I12" i="16" s="1"/>
  <c r="N65" i="15"/>
  <c r="M65" i="15"/>
  <c r="L65" i="15"/>
  <c r="H65" i="15"/>
  <c r="I65" i="15" s="1"/>
  <c r="N64" i="15"/>
  <c r="M64" i="15"/>
  <c r="L64" i="15"/>
  <c r="H64" i="15"/>
  <c r="I64" i="15" s="1"/>
  <c r="N63" i="15"/>
  <c r="M63" i="15"/>
  <c r="L63" i="15"/>
  <c r="H63" i="15"/>
  <c r="I63" i="15" s="1"/>
  <c r="N62" i="15"/>
  <c r="M62" i="15"/>
  <c r="L62" i="15"/>
  <c r="H62" i="15"/>
  <c r="I62" i="15" s="1"/>
  <c r="N61" i="15"/>
  <c r="M61" i="15"/>
  <c r="L61" i="15"/>
  <c r="H61" i="15"/>
  <c r="I61" i="15" s="1"/>
  <c r="N60" i="15"/>
  <c r="M60" i="15"/>
  <c r="L60" i="15"/>
  <c r="H60" i="15"/>
  <c r="I60" i="15" s="1"/>
  <c r="N59" i="15"/>
  <c r="M59" i="15"/>
  <c r="L59" i="15"/>
  <c r="H59" i="15"/>
  <c r="I59" i="15" s="1"/>
  <c r="N58" i="15"/>
  <c r="M58" i="15"/>
  <c r="L58" i="15"/>
  <c r="H58" i="15"/>
  <c r="I58" i="15" s="1"/>
  <c r="N57" i="15"/>
  <c r="M57" i="15"/>
  <c r="L57" i="15"/>
  <c r="H57" i="15"/>
  <c r="I57" i="15" s="1"/>
  <c r="N56" i="15"/>
  <c r="M56" i="15"/>
  <c r="L56" i="15"/>
  <c r="H56" i="15"/>
  <c r="I56" i="15" s="1"/>
  <c r="N55" i="15"/>
  <c r="M55" i="15"/>
  <c r="L55" i="15"/>
  <c r="H55" i="15"/>
  <c r="I55" i="15" s="1"/>
  <c r="N54" i="15"/>
  <c r="M54" i="15"/>
  <c r="L54" i="15"/>
  <c r="H54" i="15"/>
  <c r="I54" i="15" s="1"/>
  <c r="N53" i="15"/>
  <c r="M53" i="15"/>
  <c r="L53" i="15"/>
  <c r="H53" i="15"/>
  <c r="I53" i="15" s="1"/>
  <c r="N52" i="15"/>
  <c r="M52" i="15"/>
  <c r="L52" i="15"/>
  <c r="H52" i="15"/>
  <c r="I52" i="15" s="1"/>
  <c r="N51" i="15"/>
  <c r="M51" i="15"/>
  <c r="L51" i="15"/>
  <c r="H51" i="15"/>
  <c r="I51" i="15" s="1"/>
  <c r="N50" i="15"/>
  <c r="M50" i="15"/>
  <c r="L50" i="15"/>
  <c r="H50" i="15"/>
  <c r="I50" i="15" s="1"/>
  <c r="N49" i="15"/>
  <c r="M49" i="15"/>
  <c r="L49" i="15"/>
  <c r="H49" i="15"/>
  <c r="I49" i="15" s="1"/>
  <c r="N48" i="15"/>
  <c r="M48" i="15"/>
  <c r="L48" i="15"/>
  <c r="H48" i="15"/>
  <c r="I48" i="15" s="1"/>
  <c r="N47" i="15"/>
  <c r="M47" i="15"/>
  <c r="L47" i="15"/>
  <c r="H47" i="15"/>
  <c r="I47" i="15" s="1"/>
  <c r="N46" i="15"/>
  <c r="M46" i="15"/>
  <c r="L46" i="15"/>
  <c r="H46" i="15"/>
  <c r="I46" i="15" s="1"/>
  <c r="N45" i="15"/>
  <c r="M45" i="15"/>
  <c r="L45" i="15"/>
  <c r="H45" i="15"/>
  <c r="I45" i="15" s="1"/>
  <c r="N44" i="15"/>
  <c r="M44" i="15"/>
  <c r="L44" i="15"/>
  <c r="H44" i="15"/>
  <c r="I44" i="15" s="1"/>
  <c r="N43" i="15"/>
  <c r="M43" i="15"/>
  <c r="L43" i="15"/>
  <c r="H43" i="15"/>
  <c r="I43" i="15" s="1"/>
  <c r="N42" i="15"/>
  <c r="M42" i="15"/>
  <c r="L42" i="15"/>
  <c r="H42" i="15"/>
  <c r="I42" i="15" s="1"/>
  <c r="N41" i="15"/>
  <c r="M41" i="15"/>
  <c r="L41" i="15"/>
  <c r="H41" i="15"/>
  <c r="I41" i="15" s="1"/>
  <c r="N40" i="15"/>
  <c r="M40" i="15"/>
  <c r="L40" i="15"/>
  <c r="H40" i="15"/>
  <c r="I40" i="15" s="1"/>
  <c r="N39" i="15"/>
  <c r="M39" i="15"/>
  <c r="L39" i="15"/>
  <c r="H39" i="15"/>
  <c r="I39" i="15" s="1"/>
  <c r="N38" i="15"/>
  <c r="M38" i="15"/>
  <c r="L38" i="15"/>
  <c r="H38" i="15"/>
  <c r="I38" i="15" s="1"/>
  <c r="N37" i="15"/>
  <c r="M37" i="15"/>
  <c r="L37" i="15"/>
  <c r="H37" i="15"/>
  <c r="I37" i="15" s="1"/>
  <c r="N36" i="15"/>
  <c r="M36" i="15"/>
  <c r="L36" i="15"/>
  <c r="H36" i="15"/>
  <c r="I36" i="15" s="1"/>
  <c r="N35" i="15"/>
  <c r="M35" i="15"/>
  <c r="L35" i="15"/>
  <c r="H35" i="15"/>
  <c r="I35" i="15" s="1"/>
  <c r="N34" i="15"/>
  <c r="M34" i="15"/>
  <c r="L34" i="15"/>
  <c r="H34" i="15"/>
  <c r="I34" i="15" s="1"/>
  <c r="N33" i="15"/>
  <c r="M33" i="15"/>
  <c r="L33" i="15"/>
  <c r="H33" i="15"/>
  <c r="I33" i="15" s="1"/>
  <c r="N32" i="15"/>
  <c r="M32" i="15"/>
  <c r="L32" i="15"/>
  <c r="H32" i="15"/>
  <c r="I32" i="15" s="1"/>
  <c r="N31" i="15"/>
  <c r="M31" i="15"/>
  <c r="L31" i="15"/>
  <c r="H31" i="15"/>
  <c r="I31" i="15" s="1"/>
  <c r="N30" i="15"/>
  <c r="M30" i="15"/>
  <c r="L30" i="15"/>
  <c r="H30" i="15"/>
  <c r="I30" i="15" s="1"/>
  <c r="N29" i="15"/>
  <c r="M29" i="15"/>
  <c r="L29" i="15"/>
  <c r="H29" i="15"/>
  <c r="I29" i="15" s="1"/>
  <c r="N28" i="15"/>
  <c r="M28" i="15"/>
  <c r="L28" i="15"/>
  <c r="H28" i="15"/>
  <c r="I28" i="15" s="1"/>
  <c r="N27" i="15"/>
  <c r="M27" i="15"/>
  <c r="L27" i="15"/>
  <c r="H27" i="15"/>
  <c r="I27" i="15" s="1"/>
  <c r="N26" i="15"/>
  <c r="M26" i="15"/>
  <c r="L26" i="15"/>
  <c r="H26" i="15"/>
  <c r="I26" i="15" s="1"/>
  <c r="N25" i="15"/>
  <c r="M25" i="15"/>
  <c r="L25" i="15"/>
  <c r="H25" i="15"/>
  <c r="I25" i="15" s="1"/>
  <c r="N24" i="15"/>
  <c r="M24" i="15"/>
  <c r="L24" i="15"/>
  <c r="H24" i="15"/>
  <c r="I24" i="15" s="1"/>
  <c r="N23" i="15"/>
  <c r="M23" i="15"/>
  <c r="L23" i="15"/>
  <c r="H23" i="15"/>
  <c r="I23" i="15" s="1"/>
  <c r="N22" i="15"/>
  <c r="M22" i="15"/>
  <c r="L22" i="15"/>
  <c r="H22" i="15"/>
  <c r="I22" i="15" s="1"/>
  <c r="N21" i="15"/>
  <c r="M21" i="15"/>
  <c r="L21" i="15"/>
  <c r="H21" i="15"/>
  <c r="I21" i="15" s="1"/>
  <c r="N20" i="15"/>
  <c r="M20" i="15"/>
  <c r="L20" i="15"/>
  <c r="H20" i="15"/>
  <c r="I20" i="15" s="1"/>
  <c r="N19" i="15"/>
  <c r="M19" i="15"/>
  <c r="L19" i="15"/>
  <c r="H19" i="15"/>
  <c r="I19" i="15" s="1"/>
  <c r="N18" i="15"/>
  <c r="M18" i="15"/>
  <c r="L18" i="15"/>
  <c r="H18" i="15"/>
  <c r="I18" i="15" s="1"/>
  <c r="N17" i="15"/>
  <c r="M17" i="15"/>
  <c r="L17" i="15"/>
  <c r="H17" i="15"/>
  <c r="I17" i="15" s="1"/>
  <c r="N16" i="15"/>
  <c r="M16" i="15"/>
  <c r="L16" i="15"/>
  <c r="H16" i="15"/>
  <c r="I16" i="15" s="1"/>
  <c r="N15" i="15"/>
  <c r="M15" i="15"/>
  <c r="L15" i="15"/>
  <c r="H15" i="15"/>
  <c r="I15" i="15" s="1"/>
  <c r="N14" i="15"/>
  <c r="M14" i="15"/>
  <c r="L14" i="15"/>
  <c r="H14" i="15"/>
  <c r="I14" i="15" s="1"/>
  <c r="N13" i="15"/>
  <c r="M13" i="15"/>
  <c r="L13" i="15"/>
  <c r="H13" i="15"/>
  <c r="I13" i="15" s="1"/>
  <c r="N12" i="15"/>
  <c r="M12" i="15"/>
  <c r="L12" i="15"/>
  <c r="H12" i="15"/>
  <c r="I12" i="15" s="1"/>
  <c r="N65" i="14"/>
  <c r="M65" i="14"/>
  <c r="L65" i="14"/>
  <c r="H65" i="14"/>
  <c r="I65" i="14" s="1"/>
  <c r="N64" i="14"/>
  <c r="M64" i="14"/>
  <c r="L64" i="14"/>
  <c r="H64" i="14"/>
  <c r="I64" i="14" s="1"/>
  <c r="N63" i="14"/>
  <c r="M63" i="14"/>
  <c r="L63" i="14"/>
  <c r="H63" i="14"/>
  <c r="I63" i="14" s="1"/>
  <c r="N62" i="14"/>
  <c r="M62" i="14"/>
  <c r="L62" i="14"/>
  <c r="H62" i="14"/>
  <c r="I62" i="14" s="1"/>
  <c r="N61" i="14"/>
  <c r="M61" i="14"/>
  <c r="L61" i="14"/>
  <c r="H61" i="14"/>
  <c r="I61" i="14" s="1"/>
  <c r="N60" i="14"/>
  <c r="M60" i="14"/>
  <c r="L60" i="14"/>
  <c r="H60" i="14"/>
  <c r="I60" i="14" s="1"/>
  <c r="N59" i="14"/>
  <c r="M59" i="14"/>
  <c r="L59" i="14"/>
  <c r="H59" i="14"/>
  <c r="I59" i="14" s="1"/>
  <c r="N58" i="14"/>
  <c r="M58" i="14"/>
  <c r="L58" i="14"/>
  <c r="H58" i="14"/>
  <c r="I58" i="14" s="1"/>
  <c r="N57" i="14"/>
  <c r="M57" i="14"/>
  <c r="L57" i="14"/>
  <c r="H57" i="14"/>
  <c r="I57" i="14" s="1"/>
  <c r="N56" i="14"/>
  <c r="M56" i="14"/>
  <c r="L56" i="14"/>
  <c r="H56" i="14"/>
  <c r="I56" i="14" s="1"/>
  <c r="N55" i="14"/>
  <c r="M55" i="14"/>
  <c r="L55" i="14"/>
  <c r="H55" i="14"/>
  <c r="I55" i="14" s="1"/>
  <c r="N54" i="14"/>
  <c r="M54" i="14"/>
  <c r="L54" i="14"/>
  <c r="H54" i="14"/>
  <c r="I54" i="14" s="1"/>
  <c r="N53" i="14"/>
  <c r="M53" i="14"/>
  <c r="L53" i="14"/>
  <c r="H53" i="14"/>
  <c r="I53" i="14" s="1"/>
  <c r="N52" i="14"/>
  <c r="M52" i="14"/>
  <c r="L52" i="14"/>
  <c r="H52" i="14"/>
  <c r="I52" i="14" s="1"/>
  <c r="N51" i="14"/>
  <c r="M51" i="14"/>
  <c r="L51" i="14"/>
  <c r="H51" i="14"/>
  <c r="I51" i="14" s="1"/>
  <c r="N50" i="14"/>
  <c r="M50" i="14"/>
  <c r="L50" i="14"/>
  <c r="H50" i="14"/>
  <c r="I50" i="14" s="1"/>
  <c r="N49" i="14"/>
  <c r="M49" i="14"/>
  <c r="L49" i="14"/>
  <c r="H49" i="14"/>
  <c r="I49" i="14" s="1"/>
  <c r="N48" i="14"/>
  <c r="M48" i="14"/>
  <c r="L48" i="14"/>
  <c r="H48" i="14"/>
  <c r="I48" i="14" s="1"/>
  <c r="N47" i="14"/>
  <c r="M47" i="14"/>
  <c r="L47" i="14"/>
  <c r="H47" i="14"/>
  <c r="I47" i="14" s="1"/>
  <c r="N46" i="14"/>
  <c r="M46" i="14"/>
  <c r="L46" i="14"/>
  <c r="H46" i="14"/>
  <c r="I46" i="14" s="1"/>
  <c r="N45" i="14"/>
  <c r="M45" i="14"/>
  <c r="L45" i="14"/>
  <c r="H45" i="14"/>
  <c r="I45" i="14" s="1"/>
  <c r="N44" i="14"/>
  <c r="M44" i="14"/>
  <c r="L44" i="14"/>
  <c r="H44" i="14"/>
  <c r="I44" i="14" s="1"/>
  <c r="N43" i="14"/>
  <c r="M43" i="14"/>
  <c r="L43" i="14"/>
  <c r="H43" i="14"/>
  <c r="I43" i="14" s="1"/>
  <c r="N42" i="14"/>
  <c r="M42" i="14"/>
  <c r="L42" i="14"/>
  <c r="H42" i="14"/>
  <c r="I42" i="14" s="1"/>
  <c r="N41" i="14"/>
  <c r="M41" i="14"/>
  <c r="L41" i="14"/>
  <c r="H41" i="14"/>
  <c r="I41" i="14" s="1"/>
  <c r="N40" i="14"/>
  <c r="M40" i="14"/>
  <c r="L40" i="14"/>
  <c r="H40" i="14"/>
  <c r="I40" i="14" s="1"/>
  <c r="N39" i="14"/>
  <c r="M39" i="14"/>
  <c r="L39" i="14"/>
  <c r="H39" i="14"/>
  <c r="I39" i="14" s="1"/>
  <c r="N38" i="14"/>
  <c r="M38" i="14"/>
  <c r="L38" i="14"/>
  <c r="H38" i="14"/>
  <c r="I38" i="14" s="1"/>
  <c r="N37" i="14"/>
  <c r="M37" i="14"/>
  <c r="L37" i="14"/>
  <c r="H37" i="14"/>
  <c r="I37" i="14" s="1"/>
  <c r="N36" i="14"/>
  <c r="M36" i="14"/>
  <c r="L36" i="14"/>
  <c r="H36" i="14"/>
  <c r="I36" i="14" s="1"/>
  <c r="N35" i="14"/>
  <c r="M35" i="14"/>
  <c r="L35" i="14"/>
  <c r="H35" i="14"/>
  <c r="I35" i="14" s="1"/>
  <c r="N34" i="14"/>
  <c r="M34" i="14"/>
  <c r="L34" i="14"/>
  <c r="H34" i="14"/>
  <c r="I34" i="14" s="1"/>
  <c r="N33" i="14"/>
  <c r="M33" i="14"/>
  <c r="L33" i="14"/>
  <c r="H33" i="14"/>
  <c r="I33" i="14" s="1"/>
  <c r="N32" i="14"/>
  <c r="M32" i="14"/>
  <c r="L32" i="14"/>
  <c r="H32" i="14"/>
  <c r="I32" i="14" s="1"/>
  <c r="N31" i="14"/>
  <c r="M31" i="14"/>
  <c r="L31" i="14"/>
  <c r="H31" i="14"/>
  <c r="I31" i="14" s="1"/>
  <c r="N30" i="14"/>
  <c r="M30" i="14"/>
  <c r="L30" i="14"/>
  <c r="H30" i="14"/>
  <c r="I30" i="14" s="1"/>
  <c r="N29" i="14"/>
  <c r="M29" i="14"/>
  <c r="L29" i="14"/>
  <c r="H29" i="14"/>
  <c r="I29" i="14" s="1"/>
  <c r="N28" i="14"/>
  <c r="M28" i="14"/>
  <c r="L28" i="14"/>
  <c r="H28" i="14"/>
  <c r="I28" i="14" s="1"/>
  <c r="N27" i="14"/>
  <c r="M27" i="14"/>
  <c r="L27" i="14"/>
  <c r="H27" i="14"/>
  <c r="I27" i="14" s="1"/>
  <c r="N26" i="14"/>
  <c r="M26" i="14"/>
  <c r="L26" i="14"/>
  <c r="H26" i="14"/>
  <c r="I26" i="14" s="1"/>
  <c r="N25" i="14"/>
  <c r="M25" i="14"/>
  <c r="L25" i="14"/>
  <c r="H25" i="14"/>
  <c r="I25" i="14" s="1"/>
  <c r="N24" i="14"/>
  <c r="M24" i="14"/>
  <c r="L24" i="14"/>
  <c r="H24" i="14"/>
  <c r="I24" i="14" s="1"/>
  <c r="N23" i="14"/>
  <c r="M23" i="14"/>
  <c r="L23" i="14"/>
  <c r="H23" i="14"/>
  <c r="I23" i="14" s="1"/>
  <c r="N22" i="14"/>
  <c r="M22" i="14"/>
  <c r="L22" i="14"/>
  <c r="H22" i="14"/>
  <c r="I22" i="14" s="1"/>
  <c r="N21" i="14"/>
  <c r="M21" i="14"/>
  <c r="L21" i="14"/>
  <c r="H21" i="14"/>
  <c r="I21" i="14" s="1"/>
  <c r="N20" i="14"/>
  <c r="M20" i="14"/>
  <c r="L20" i="14"/>
  <c r="H20" i="14"/>
  <c r="I20" i="14" s="1"/>
  <c r="N19" i="14"/>
  <c r="M19" i="14"/>
  <c r="L19" i="14"/>
  <c r="H19" i="14"/>
  <c r="I19" i="14" s="1"/>
  <c r="N18" i="14"/>
  <c r="M18" i="14"/>
  <c r="L18" i="14"/>
  <c r="H18" i="14"/>
  <c r="I18" i="14" s="1"/>
  <c r="N17" i="14"/>
  <c r="M17" i="14"/>
  <c r="L17" i="14"/>
  <c r="H17" i="14"/>
  <c r="I17" i="14" s="1"/>
  <c r="N16" i="14"/>
  <c r="M16" i="14"/>
  <c r="L16" i="14"/>
  <c r="H16" i="14"/>
  <c r="I16" i="14" s="1"/>
  <c r="N15" i="14"/>
  <c r="M15" i="14"/>
  <c r="L15" i="14"/>
  <c r="H15" i="14"/>
  <c r="I15" i="14" s="1"/>
  <c r="N14" i="14"/>
  <c r="M14" i="14"/>
  <c r="L14" i="14"/>
  <c r="H14" i="14"/>
  <c r="I14" i="14" s="1"/>
  <c r="N13" i="14"/>
  <c r="M13" i="14"/>
  <c r="L13" i="14"/>
  <c r="H13" i="14"/>
  <c r="I13" i="14" s="1"/>
  <c r="N12" i="14"/>
  <c r="M12" i="14"/>
  <c r="L12" i="14"/>
  <c r="H12" i="14"/>
  <c r="I12" i="14" s="1"/>
  <c r="N65" i="13"/>
  <c r="M65" i="13"/>
  <c r="L65" i="13"/>
  <c r="H65" i="13"/>
  <c r="I65" i="13" s="1"/>
  <c r="N64" i="13"/>
  <c r="M64" i="13"/>
  <c r="L64" i="13"/>
  <c r="H64" i="13"/>
  <c r="I64" i="13" s="1"/>
  <c r="N63" i="13"/>
  <c r="M63" i="13"/>
  <c r="L63" i="13"/>
  <c r="H63" i="13"/>
  <c r="I63" i="13" s="1"/>
  <c r="N62" i="13"/>
  <c r="M62" i="13"/>
  <c r="L62" i="13"/>
  <c r="H62" i="13"/>
  <c r="I62" i="13" s="1"/>
  <c r="N61" i="13"/>
  <c r="M61" i="13"/>
  <c r="L61" i="13"/>
  <c r="H61" i="13"/>
  <c r="I61" i="13" s="1"/>
  <c r="N60" i="13"/>
  <c r="M60" i="13"/>
  <c r="L60" i="13"/>
  <c r="H60" i="13"/>
  <c r="I60" i="13" s="1"/>
  <c r="N59" i="13"/>
  <c r="M59" i="13"/>
  <c r="L59" i="13"/>
  <c r="H59" i="13"/>
  <c r="I59" i="13" s="1"/>
  <c r="N58" i="13"/>
  <c r="M58" i="13"/>
  <c r="L58" i="13"/>
  <c r="H58" i="13"/>
  <c r="I58" i="13" s="1"/>
  <c r="N57" i="13"/>
  <c r="M57" i="13"/>
  <c r="L57" i="13"/>
  <c r="H57" i="13"/>
  <c r="I57" i="13" s="1"/>
  <c r="N56" i="13"/>
  <c r="M56" i="13"/>
  <c r="L56" i="13"/>
  <c r="H56" i="13"/>
  <c r="I56" i="13" s="1"/>
  <c r="N55" i="13"/>
  <c r="M55" i="13"/>
  <c r="L55" i="13"/>
  <c r="H55" i="13"/>
  <c r="I55" i="13" s="1"/>
  <c r="N54" i="13"/>
  <c r="M54" i="13"/>
  <c r="L54" i="13"/>
  <c r="H54" i="13"/>
  <c r="I54" i="13" s="1"/>
  <c r="N53" i="13"/>
  <c r="M53" i="13"/>
  <c r="L53" i="13"/>
  <c r="H53" i="13"/>
  <c r="I53" i="13" s="1"/>
  <c r="N52" i="13"/>
  <c r="M52" i="13"/>
  <c r="L52" i="13"/>
  <c r="H52" i="13"/>
  <c r="I52" i="13" s="1"/>
  <c r="N51" i="13"/>
  <c r="M51" i="13"/>
  <c r="L51" i="13"/>
  <c r="H51" i="13"/>
  <c r="I51" i="13" s="1"/>
  <c r="N50" i="13"/>
  <c r="M50" i="13"/>
  <c r="L50" i="13"/>
  <c r="H50" i="13"/>
  <c r="I50" i="13" s="1"/>
  <c r="N49" i="13"/>
  <c r="M49" i="13"/>
  <c r="L49" i="13"/>
  <c r="H49" i="13"/>
  <c r="I49" i="13" s="1"/>
  <c r="N48" i="13"/>
  <c r="M48" i="13"/>
  <c r="L48" i="13"/>
  <c r="H48" i="13"/>
  <c r="I48" i="13" s="1"/>
  <c r="N47" i="13"/>
  <c r="M47" i="13"/>
  <c r="L47" i="13"/>
  <c r="H47" i="13"/>
  <c r="I47" i="13" s="1"/>
  <c r="N46" i="13"/>
  <c r="M46" i="13"/>
  <c r="L46" i="13"/>
  <c r="H46" i="13"/>
  <c r="I46" i="13" s="1"/>
  <c r="N45" i="13"/>
  <c r="M45" i="13"/>
  <c r="L45" i="13"/>
  <c r="H45" i="13"/>
  <c r="I45" i="13" s="1"/>
  <c r="N44" i="13"/>
  <c r="M44" i="13"/>
  <c r="L44" i="13"/>
  <c r="H44" i="13"/>
  <c r="I44" i="13" s="1"/>
  <c r="N43" i="13"/>
  <c r="M43" i="13"/>
  <c r="L43" i="13"/>
  <c r="H43" i="13"/>
  <c r="I43" i="13" s="1"/>
  <c r="N42" i="13"/>
  <c r="M42" i="13"/>
  <c r="L42" i="13"/>
  <c r="H42" i="13"/>
  <c r="I42" i="13" s="1"/>
  <c r="N41" i="13"/>
  <c r="M41" i="13"/>
  <c r="L41" i="13"/>
  <c r="H41" i="13"/>
  <c r="I41" i="13" s="1"/>
  <c r="N40" i="13"/>
  <c r="M40" i="13"/>
  <c r="L40" i="13"/>
  <c r="H40" i="13"/>
  <c r="I40" i="13" s="1"/>
  <c r="N39" i="13"/>
  <c r="M39" i="13"/>
  <c r="L39" i="13"/>
  <c r="H39" i="13"/>
  <c r="I39" i="13" s="1"/>
  <c r="N38" i="13"/>
  <c r="M38" i="13"/>
  <c r="L38" i="13"/>
  <c r="H38" i="13"/>
  <c r="I38" i="13" s="1"/>
  <c r="N37" i="13"/>
  <c r="M37" i="13"/>
  <c r="L37" i="13"/>
  <c r="H37" i="13"/>
  <c r="I37" i="13" s="1"/>
  <c r="N36" i="13"/>
  <c r="M36" i="13"/>
  <c r="L36" i="13"/>
  <c r="H36" i="13"/>
  <c r="I36" i="13" s="1"/>
  <c r="N35" i="13"/>
  <c r="M35" i="13"/>
  <c r="L35" i="13"/>
  <c r="H35" i="13"/>
  <c r="I35" i="13" s="1"/>
  <c r="N34" i="13"/>
  <c r="M34" i="13"/>
  <c r="L34" i="13"/>
  <c r="H34" i="13"/>
  <c r="I34" i="13" s="1"/>
  <c r="N33" i="13"/>
  <c r="M33" i="13"/>
  <c r="L33" i="13"/>
  <c r="H33" i="13"/>
  <c r="I33" i="13" s="1"/>
  <c r="N32" i="13"/>
  <c r="M32" i="13"/>
  <c r="L32" i="13"/>
  <c r="H32" i="13"/>
  <c r="I32" i="13" s="1"/>
  <c r="N31" i="13"/>
  <c r="M31" i="13"/>
  <c r="L31" i="13"/>
  <c r="H31" i="13"/>
  <c r="I31" i="13" s="1"/>
  <c r="N30" i="13"/>
  <c r="M30" i="13"/>
  <c r="L30" i="13"/>
  <c r="H30" i="13"/>
  <c r="I30" i="13" s="1"/>
  <c r="N29" i="13"/>
  <c r="M29" i="13"/>
  <c r="L29" i="13"/>
  <c r="H29" i="13"/>
  <c r="I29" i="13" s="1"/>
  <c r="N28" i="13"/>
  <c r="M28" i="13"/>
  <c r="L28" i="13"/>
  <c r="H28" i="13"/>
  <c r="I28" i="13" s="1"/>
  <c r="N27" i="13"/>
  <c r="M27" i="13"/>
  <c r="L27" i="13"/>
  <c r="H27" i="13"/>
  <c r="I27" i="13" s="1"/>
  <c r="N26" i="13"/>
  <c r="M26" i="13"/>
  <c r="L26" i="13"/>
  <c r="H26" i="13"/>
  <c r="I26" i="13" s="1"/>
  <c r="N25" i="13"/>
  <c r="M25" i="13"/>
  <c r="L25" i="13"/>
  <c r="H25" i="13"/>
  <c r="I25" i="13" s="1"/>
  <c r="N24" i="13"/>
  <c r="M24" i="13"/>
  <c r="L24" i="13"/>
  <c r="H24" i="13"/>
  <c r="I24" i="13" s="1"/>
  <c r="N23" i="13"/>
  <c r="M23" i="13"/>
  <c r="L23" i="13"/>
  <c r="H23" i="13"/>
  <c r="I23" i="13" s="1"/>
  <c r="N22" i="13"/>
  <c r="M22" i="13"/>
  <c r="L22" i="13"/>
  <c r="H22" i="13"/>
  <c r="I22" i="13" s="1"/>
  <c r="N21" i="13"/>
  <c r="M21" i="13"/>
  <c r="L21" i="13"/>
  <c r="H21" i="13"/>
  <c r="I21" i="13" s="1"/>
  <c r="N20" i="13"/>
  <c r="M20" i="13"/>
  <c r="L20" i="13"/>
  <c r="H20" i="13"/>
  <c r="I20" i="13" s="1"/>
  <c r="N19" i="13"/>
  <c r="M19" i="13"/>
  <c r="L19" i="13"/>
  <c r="H19" i="13"/>
  <c r="I19" i="13" s="1"/>
  <c r="N18" i="13"/>
  <c r="M18" i="13"/>
  <c r="L18" i="13"/>
  <c r="H18" i="13"/>
  <c r="I18" i="13" s="1"/>
  <c r="N17" i="13"/>
  <c r="M17" i="13"/>
  <c r="L17" i="13"/>
  <c r="H17" i="13"/>
  <c r="I17" i="13" s="1"/>
  <c r="N16" i="13"/>
  <c r="M16" i="13"/>
  <c r="L16" i="13"/>
  <c r="H16" i="13"/>
  <c r="I16" i="13" s="1"/>
  <c r="N15" i="13"/>
  <c r="M15" i="13"/>
  <c r="L15" i="13"/>
  <c r="H15" i="13"/>
  <c r="I15" i="13" s="1"/>
  <c r="N14" i="13"/>
  <c r="M14" i="13"/>
  <c r="L14" i="13"/>
  <c r="H14" i="13"/>
  <c r="I14" i="13" s="1"/>
  <c r="N13" i="13"/>
  <c r="M13" i="13"/>
  <c r="L13" i="13"/>
  <c r="H13" i="13"/>
  <c r="I13" i="13" s="1"/>
  <c r="N12" i="13"/>
  <c r="M12" i="13"/>
  <c r="L12" i="13"/>
  <c r="H12" i="13"/>
  <c r="I12" i="13" s="1"/>
  <c r="N65" i="12"/>
  <c r="M65" i="12"/>
  <c r="L65" i="12"/>
  <c r="H65" i="12"/>
  <c r="I65" i="12" s="1"/>
  <c r="N64" i="12"/>
  <c r="M64" i="12"/>
  <c r="L64" i="12"/>
  <c r="H64" i="12"/>
  <c r="I64" i="12" s="1"/>
  <c r="N63" i="12"/>
  <c r="M63" i="12"/>
  <c r="L63" i="12"/>
  <c r="H63" i="12"/>
  <c r="I63" i="12" s="1"/>
  <c r="N62" i="12"/>
  <c r="M62" i="12"/>
  <c r="L62" i="12"/>
  <c r="H62" i="12"/>
  <c r="I62" i="12" s="1"/>
  <c r="N61" i="12"/>
  <c r="M61" i="12"/>
  <c r="L61" i="12"/>
  <c r="H61" i="12"/>
  <c r="I61" i="12" s="1"/>
  <c r="N60" i="12"/>
  <c r="M60" i="12"/>
  <c r="L60" i="12"/>
  <c r="H60" i="12"/>
  <c r="I60" i="12" s="1"/>
  <c r="N59" i="12"/>
  <c r="M59" i="12"/>
  <c r="L59" i="12"/>
  <c r="H59" i="12"/>
  <c r="I59" i="12" s="1"/>
  <c r="N58" i="12"/>
  <c r="M58" i="12"/>
  <c r="L58" i="12"/>
  <c r="H58" i="12"/>
  <c r="I58" i="12" s="1"/>
  <c r="N57" i="12"/>
  <c r="M57" i="12"/>
  <c r="L57" i="12"/>
  <c r="H57" i="12"/>
  <c r="I57" i="12" s="1"/>
  <c r="N56" i="12"/>
  <c r="M56" i="12"/>
  <c r="L56" i="12"/>
  <c r="H56" i="12"/>
  <c r="I56" i="12" s="1"/>
  <c r="N55" i="12"/>
  <c r="M55" i="12"/>
  <c r="L55" i="12"/>
  <c r="H55" i="12"/>
  <c r="I55" i="12" s="1"/>
  <c r="N54" i="12"/>
  <c r="M54" i="12"/>
  <c r="L54" i="12"/>
  <c r="H54" i="12"/>
  <c r="I54" i="12" s="1"/>
  <c r="N53" i="12"/>
  <c r="M53" i="12"/>
  <c r="L53" i="12"/>
  <c r="H53" i="12"/>
  <c r="I53" i="12" s="1"/>
  <c r="N52" i="12"/>
  <c r="M52" i="12"/>
  <c r="L52" i="12"/>
  <c r="H52" i="12"/>
  <c r="I52" i="12" s="1"/>
  <c r="N51" i="12"/>
  <c r="M51" i="12"/>
  <c r="L51" i="12"/>
  <c r="H51" i="12"/>
  <c r="I51" i="12" s="1"/>
  <c r="N50" i="12"/>
  <c r="M50" i="12"/>
  <c r="L50" i="12"/>
  <c r="H50" i="12"/>
  <c r="I50" i="12" s="1"/>
  <c r="N49" i="12"/>
  <c r="M49" i="12"/>
  <c r="L49" i="12"/>
  <c r="H49" i="12"/>
  <c r="I49" i="12" s="1"/>
  <c r="N48" i="12"/>
  <c r="M48" i="12"/>
  <c r="L48" i="12"/>
  <c r="H48" i="12"/>
  <c r="I48" i="12" s="1"/>
  <c r="N47" i="12"/>
  <c r="M47" i="12"/>
  <c r="L47" i="12"/>
  <c r="H47" i="12"/>
  <c r="I47" i="12" s="1"/>
  <c r="N46" i="12"/>
  <c r="M46" i="12"/>
  <c r="L46" i="12"/>
  <c r="H46" i="12"/>
  <c r="I46" i="12" s="1"/>
  <c r="N45" i="12"/>
  <c r="M45" i="12"/>
  <c r="L45" i="12"/>
  <c r="H45" i="12"/>
  <c r="I45" i="12" s="1"/>
  <c r="N44" i="12"/>
  <c r="M44" i="12"/>
  <c r="L44" i="12"/>
  <c r="H44" i="12"/>
  <c r="I44" i="12" s="1"/>
  <c r="N43" i="12"/>
  <c r="M43" i="12"/>
  <c r="L43" i="12"/>
  <c r="H43" i="12"/>
  <c r="I43" i="12" s="1"/>
  <c r="N42" i="12"/>
  <c r="M42" i="12"/>
  <c r="L42" i="12"/>
  <c r="H42" i="12"/>
  <c r="I42" i="12" s="1"/>
  <c r="N41" i="12"/>
  <c r="M41" i="12"/>
  <c r="L41" i="12"/>
  <c r="H41" i="12"/>
  <c r="I41" i="12" s="1"/>
  <c r="N40" i="12"/>
  <c r="M40" i="12"/>
  <c r="L40" i="12"/>
  <c r="H40" i="12"/>
  <c r="I40" i="12" s="1"/>
  <c r="N39" i="12"/>
  <c r="M39" i="12"/>
  <c r="L39" i="12"/>
  <c r="H39" i="12"/>
  <c r="I39" i="12" s="1"/>
  <c r="N38" i="12"/>
  <c r="M38" i="12"/>
  <c r="L38" i="12"/>
  <c r="H38" i="12"/>
  <c r="I38" i="12" s="1"/>
  <c r="N37" i="12"/>
  <c r="M37" i="12"/>
  <c r="L37" i="12"/>
  <c r="H37" i="12"/>
  <c r="I37" i="12" s="1"/>
  <c r="N36" i="12"/>
  <c r="M36" i="12"/>
  <c r="L36" i="12"/>
  <c r="H36" i="12"/>
  <c r="I36" i="12" s="1"/>
  <c r="N35" i="12"/>
  <c r="M35" i="12"/>
  <c r="L35" i="12"/>
  <c r="H35" i="12"/>
  <c r="I35" i="12" s="1"/>
  <c r="N34" i="12"/>
  <c r="M34" i="12"/>
  <c r="L34" i="12"/>
  <c r="H34" i="12"/>
  <c r="I34" i="12" s="1"/>
  <c r="N33" i="12"/>
  <c r="M33" i="12"/>
  <c r="L33" i="12"/>
  <c r="H33" i="12"/>
  <c r="I33" i="12" s="1"/>
  <c r="N32" i="12"/>
  <c r="M32" i="12"/>
  <c r="L32" i="12"/>
  <c r="H32" i="12"/>
  <c r="I32" i="12" s="1"/>
  <c r="N31" i="12"/>
  <c r="M31" i="12"/>
  <c r="L31" i="12"/>
  <c r="H31" i="12"/>
  <c r="I31" i="12" s="1"/>
  <c r="N30" i="12"/>
  <c r="M30" i="12"/>
  <c r="L30" i="12"/>
  <c r="H30" i="12"/>
  <c r="I30" i="12" s="1"/>
  <c r="N29" i="12"/>
  <c r="M29" i="12"/>
  <c r="L29" i="12"/>
  <c r="H29" i="12"/>
  <c r="I29" i="12" s="1"/>
  <c r="N28" i="12"/>
  <c r="M28" i="12"/>
  <c r="L28" i="12"/>
  <c r="H28" i="12"/>
  <c r="I28" i="12" s="1"/>
  <c r="N27" i="12"/>
  <c r="M27" i="12"/>
  <c r="L27" i="12"/>
  <c r="H27" i="12"/>
  <c r="I27" i="12" s="1"/>
  <c r="N26" i="12"/>
  <c r="M26" i="12"/>
  <c r="L26" i="12"/>
  <c r="H26" i="12"/>
  <c r="I26" i="12" s="1"/>
  <c r="N25" i="12"/>
  <c r="M25" i="12"/>
  <c r="L25" i="12"/>
  <c r="H25" i="12"/>
  <c r="I25" i="12" s="1"/>
  <c r="N24" i="12"/>
  <c r="M24" i="12"/>
  <c r="L24" i="12"/>
  <c r="H24" i="12"/>
  <c r="I24" i="12" s="1"/>
  <c r="N23" i="12"/>
  <c r="M23" i="12"/>
  <c r="L23" i="12"/>
  <c r="H23" i="12"/>
  <c r="I23" i="12" s="1"/>
  <c r="N22" i="12"/>
  <c r="M22" i="12"/>
  <c r="L22" i="12"/>
  <c r="H22" i="12"/>
  <c r="I22" i="12" s="1"/>
  <c r="N21" i="12"/>
  <c r="M21" i="12"/>
  <c r="L21" i="12"/>
  <c r="H21" i="12"/>
  <c r="I21" i="12" s="1"/>
  <c r="N20" i="12"/>
  <c r="M20" i="12"/>
  <c r="L20" i="12"/>
  <c r="H20" i="12"/>
  <c r="I20" i="12" s="1"/>
  <c r="N19" i="12"/>
  <c r="M19" i="12"/>
  <c r="L19" i="12"/>
  <c r="H19" i="12"/>
  <c r="I19" i="12" s="1"/>
  <c r="N18" i="12"/>
  <c r="M18" i="12"/>
  <c r="L18" i="12"/>
  <c r="H18" i="12"/>
  <c r="I18" i="12" s="1"/>
  <c r="N17" i="12"/>
  <c r="M17" i="12"/>
  <c r="L17" i="12"/>
  <c r="H17" i="12"/>
  <c r="I17" i="12" s="1"/>
  <c r="N16" i="12"/>
  <c r="M16" i="12"/>
  <c r="L16" i="12"/>
  <c r="H16" i="12"/>
  <c r="I16" i="12" s="1"/>
  <c r="N15" i="12"/>
  <c r="M15" i="12"/>
  <c r="L15" i="12"/>
  <c r="H15" i="12"/>
  <c r="I15" i="12" s="1"/>
  <c r="N14" i="12"/>
  <c r="M14" i="12"/>
  <c r="L14" i="12"/>
  <c r="H14" i="12"/>
  <c r="I14" i="12" s="1"/>
  <c r="N13" i="12"/>
  <c r="M13" i="12"/>
  <c r="L13" i="12"/>
  <c r="H13" i="12"/>
  <c r="I13" i="12" s="1"/>
  <c r="N12" i="12"/>
  <c r="M12" i="12"/>
  <c r="L12" i="12"/>
  <c r="H12" i="12"/>
  <c r="I12" i="12" s="1"/>
  <c r="I15" i="5"/>
  <c r="I18" i="5"/>
  <c r="I16" i="5"/>
  <c r="I19" i="5"/>
  <c r="I21" i="5"/>
  <c r="I23" i="5"/>
  <c r="I24" i="5"/>
  <c r="I25" i="5"/>
  <c r="I27" i="5"/>
  <c r="I28" i="5"/>
  <c r="I30" i="5"/>
  <c r="I31" i="5"/>
  <c r="I32" i="5"/>
  <c r="I34" i="5"/>
  <c r="I35" i="5"/>
  <c r="I38" i="5"/>
  <c r="I39" i="5"/>
  <c r="I41" i="5"/>
  <c r="I42" i="5"/>
  <c r="I44" i="5"/>
  <c r="I45" i="5"/>
  <c r="I47" i="5"/>
  <c r="I48" i="5"/>
  <c r="I49" i="5"/>
  <c r="I50" i="5"/>
  <c r="I51" i="5"/>
  <c r="I52" i="5"/>
  <c r="I53" i="5"/>
  <c r="I54" i="5"/>
  <c r="I58" i="5"/>
  <c r="I57" i="5"/>
  <c r="C17" i="6"/>
  <c r="C18" i="6"/>
  <c r="C20" i="6"/>
  <c r="C6" i="6"/>
  <c r="C7" i="6"/>
  <c r="C23" i="6"/>
  <c r="C9" i="6"/>
  <c r="C10" i="6"/>
  <c r="C8" i="6"/>
  <c r="C25" i="6"/>
  <c r="C27" i="6"/>
  <c r="C29" i="6"/>
  <c r="C12" i="6"/>
  <c r="C32" i="6"/>
  <c r="C15" i="6"/>
  <c r="C11" i="6"/>
  <c r="C36" i="6"/>
  <c r="C37" i="6"/>
  <c r="C39" i="6"/>
  <c r="C42" i="6"/>
  <c r="C44" i="6"/>
  <c r="C45" i="6"/>
  <c r="C46" i="6"/>
  <c r="C48" i="6"/>
  <c r="C24" i="6"/>
  <c r="C51" i="6"/>
  <c r="C53" i="6"/>
  <c r="C55" i="6"/>
  <c r="C57" i="6"/>
  <c r="C38" i="6"/>
  <c r="C59" i="6"/>
  <c r="C62" i="6"/>
  <c r="C33" i="6"/>
  <c r="C82" i="6"/>
  <c r="C83" i="6"/>
  <c r="C84" i="6"/>
  <c r="C85" i="6"/>
  <c r="C40" i="6"/>
  <c r="C86" i="6"/>
  <c r="C87" i="6"/>
  <c r="C67" i="6"/>
  <c r="C88" i="6"/>
  <c r="C89" i="6"/>
  <c r="C90" i="6"/>
  <c r="C91" i="6"/>
  <c r="C13" i="6"/>
  <c r="C14" i="6"/>
  <c r="C16" i="6"/>
  <c r="C19" i="6"/>
  <c r="C21" i="6"/>
  <c r="C22" i="6"/>
  <c r="C26" i="6"/>
  <c r="C28" i="6"/>
  <c r="C30" i="6"/>
  <c r="C31" i="6"/>
  <c r="C34" i="6"/>
  <c r="C35" i="6"/>
  <c r="C69" i="6"/>
  <c r="C41" i="6"/>
  <c r="C43" i="6"/>
  <c r="C47" i="6"/>
  <c r="C49" i="6"/>
  <c r="C50" i="6"/>
  <c r="C52" i="6"/>
  <c r="C54" i="6"/>
  <c r="C56" i="6"/>
  <c r="C58" i="6"/>
  <c r="C60" i="6"/>
  <c r="C61" i="6"/>
  <c r="C63" i="6"/>
  <c r="C64" i="6"/>
  <c r="C65" i="6"/>
  <c r="C66" i="6"/>
  <c r="C70" i="6"/>
  <c r="C71" i="6"/>
  <c r="C72" i="6"/>
  <c r="C73" i="6"/>
  <c r="C74" i="6"/>
  <c r="C75" i="6"/>
  <c r="C76" i="6"/>
  <c r="C77" i="6"/>
  <c r="C78" i="6"/>
  <c r="C79" i="6"/>
  <c r="C80" i="6"/>
  <c r="C81" i="6"/>
  <c r="C68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5" i="6"/>
  <c r="H7" i="6"/>
  <c r="H32" i="6"/>
  <c r="H38" i="6"/>
  <c r="H10" i="6"/>
  <c r="H15" i="6"/>
  <c r="H14" i="6"/>
  <c r="H40" i="6"/>
  <c r="H59" i="6"/>
  <c r="H9" i="6"/>
  <c r="H8" i="6"/>
  <c r="H12" i="6"/>
  <c r="H37" i="6"/>
  <c r="H44" i="6"/>
  <c r="H45" i="6"/>
  <c r="H24" i="6"/>
  <c r="H53" i="6"/>
  <c r="H62" i="6"/>
  <c r="H82" i="6"/>
  <c r="H84" i="6"/>
  <c r="H85" i="6"/>
  <c r="H67" i="6"/>
  <c r="H89" i="6"/>
  <c r="H16" i="6"/>
  <c r="H79" i="6"/>
  <c r="H91" i="6"/>
  <c r="H21" i="6"/>
  <c r="H26" i="6"/>
  <c r="H28" i="6"/>
  <c r="H30" i="6"/>
  <c r="H34" i="6"/>
  <c r="H31" i="6"/>
  <c r="H41" i="6"/>
  <c r="H69" i="6"/>
  <c r="H52" i="6"/>
  <c r="H47" i="6"/>
  <c r="H43" i="6"/>
  <c r="H50" i="6"/>
  <c r="H49" i="6"/>
  <c r="H58" i="6"/>
  <c r="H56" i="6"/>
  <c r="H61" i="6"/>
  <c r="H63" i="6"/>
  <c r="H66" i="6"/>
  <c r="H71" i="6"/>
  <c r="H73" i="6"/>
  <c r="H72" i="6"/>
  <c r="H75" i="6"/>
  <c r="H78" i="6"/>
  <c r="H80" i="6"/>
  <c r="H68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M13" i="10"/>
  <c r="N13" i="10"/>
  <c r="M14" i="10"/>
  <c r="N14" i="10"/>
  <c r="M15" i="10"/>
  <c r="N15" i="10"/>
  <c r="M16" i="10"/>
  <c r="N16" i="10"/>
  <c r="M17" i="10"/>
  <c r="N17" i="10"/>
  <c r="M18" i="10"/>
  <c r="N18" i="10"/>
  <c r="M19" i="10"/>
  <c r="N19" i="10"/>
  <c r="M20" i="10"/>
  <c r="N20" i="10"/>
  <c r="M21" i="10"/>
  <c r="N21" i="10"/>
  <c r="M22" i="10"/>
  <c r="N22" i="10"/>
  <c r="M23" i="10"/>
  <c r="N23" i="10"/>
  <c r="M24" i="10"/>
  <c r="N24" i="10"/>
  <c r="M25" i="10"/>
  <c r="N25" i="10"/>
  <c r="M26" i="10"/>
  <c r="N26" i="10"/>
  <c r="M27" i="10"/>
  <c r="N27" i="10"/>
  <c r="M28" i="10"/>
  <c r="N28" i="10"/>
  <c r="M29" i="10"/>
  <c r="N29" i="10"/>
  <c r="M30" i="10"/>
  <c r="N30" i="10"/>
  <c r="M31" i="10"/>
  <c r="N31" i="10"/>
  <c r="M32" i="10"/>
  <c r="N32" i="10"/>
  <c r="M33" i="10"/>
  <c r="N33" i="10"/>
  <c r="M34" i="10"/>
  <c r="N34" i="10"/>
  <c r="M35" i="10"/>
  <c r="N35" i="10"/>
  <c r="M36" i="10"/>
  <c r="N36" i="10"/>
  <c r="M37" i="10"/>
  <c r="N37" i="10"/>
  <c r="M38" i="10"/>
  <c r="N38" i="10"/>
  <c r="M39" i="10"/>
  <c r="N39" i="10"/>
  <c r="M40" i="10"/>
  <c r="N40" i="10"/>
  <c r="M41" i="10"/>
  <c r="N41" i="10"/>
  <c r="M42" i="10"/>
  <c r="N42" i="10"/>
  <c r="M43" i="10"/>
  <c r="N43" i="10"/>
  <c r="M44" i="10"/>
  <c r="N44" i="10"/>
  <c r="M45" i="10"/>
  <c r="N45" i="10"/>
  <c r="M46" i="10"/>
  <c r="N46" i="10"/>
  <c r="M47" i="10"/>
  <c r="N47" i="10"/>
  <c r="M48" i="10"/>
  <c r="N48" i="10"/>
  <c r="M49" i="10"/>
  <c r="N49" i="10"/>
  <c r="M50" i="10"/>
  <c r="N50" i="10"/>
  <c r="M51" i="10"/>
  <c r="N51" i="10"/>
  <c r="M52" i="10"/>
  <c r="N52" i="10"/>
  <c r="M53" i="10"/>
  <c r="N53" i="10"/>
  <c r="M54" i="10"/>
  <c r="N54" i="10"/>
  <c r="M55" i="10"/>
  <c r="N55" i="10"/>
  <c r="M56" i="10"/>
  <c r="N56" i="10"/>
  <c r="M57" i="10"/>
  <c r="N57" i="10"/>
  <c r="M58" i="10"/>
  <c r="N58" i="10"/>
  <c r="M59" i="10"/>
  <c r="N59" i="10"/>
  <c r="M60" i="10"/>
  <c r="N60" i="10"/>
  <c r="M61" i="10"/>
  <c r="N61" i="10"/>
  <c r="M62" i="10"/>
  <c r="N62" i="10"/>
  <c r="M63" i="10"/>
  <c r="N63" i="10"/>
  <c r="M64" i="10"/>
  <c r="N64" i="10"/>
  <c r="M65" i="10"/>
  <c r="N65" i="10"/>
  <c r="N12" i="10"/>
  <c r="M12" i="10"/>
  <c r="H15" i="10"/>
  <c r="H13" i="10"/>
  <c r="H14" i="10"/>
  <c r="H16" i="10"/>
  <c r="H19" i="10"/>
  <c r="H18" i="10"/>
  <c r="H17" i="10"/>
  <c r="H20" i="10"/>
  <c r="H21" i="10"/>
  <c r="H22" i="10"/>
  <c r="H25" i="10"/>
  <c r="H23" i="10"/>
  <c r="H24" i="10"/>
  <c r="H26" i="10"/>
  <c r="H27" i="10"/>
  <c r="H28" i="10"/>
  <c r="H33" i="10"/>
  <c r="H29" i="10"/>
  <c r="H30" i="10"/>
  <c r="H31" i="10"/>
  <c r="H34" i="10"/>
  <c r="H35" i="10"/>
  <c r="H36" i="10"/>
  <c r="H38" i="10"/>
  <c r="H37" i="10"/>
  <c r="H40" i="10"/>
  <c r="H32" i="10"/>
  <c r="H39" i="10"/>
  <c r="H42" i="10"/>
  <c r="H43" i="10"/>
  <c r="H44" i="10"/>
  <c r="H41" i="10"/>
  <c r="H45" i="10"/>
  <c r="H49" i="10"/>
  <c r="H46" i="10"/>
  <c r="H47" i="10"/>
  <c r="H48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12" i="10"/>
  <c r="I36" i="5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N12" i="9"/>
  <c r="M12" i="9"/>
  <c r="I17" i="5"/>
  <c r="I22" i="5"/>
  <c r="I20" i="5"/>
  <c r="I26" i="5"/>
  <c r="I29" i="5"/>
  <c r="I33" i="5"/>
  <c r="I37" i="5"/>
  <c r="I40" i="5"/>
  <c r="I43" i="5"/>
  <c r="I55" i="5"/>
  <c r="I56" i="5"/>
  <c r="I12" i="5"/>
  <c r="I13" i="5"/>
  <c r="I14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12" i="5"/>
  <c r="I24" i="9" l="1"/>
  <c r="O66" i="9"/>
  <c r="O62" i="9"/>
  <c r="O64" i="9"/>
  <c r="O58" i="9"/>
  <c r="O50" i="9"/>
  <c r="O61" i="9"/>
  <c r="O57" i="9"/>
  <c r="O46" i="9"/>
  <c r="O59" i="9"/>
  <c r="O52" i="9"/>
  <c r="O45" i="9"/>
  <c r="O47" i="9"/>
  <c r="O55" i="9"/>
  <c r="O48" i="9"/>
  <c r="I28" i="9"/>
  <c r="O51" i="9"/>
  <c r="I51" i="9"/>
  <c r="I47" i="9"/>
  <c r="I41" i="9"/>
  <c r="I33" i="9"/>
  <c r="F131" i="6"/>
  <c r="O131" i="6" s="1"/>
  <c r="F130" i="6"/>
  <c r="O130" i="6" s="1"/>
  <c r="O67" i="13"/>
  <c r="O67" i="14"/>
  <c r="O67" i="16"/>
  <c r="O67" i="15"/>
  <c r="O67" i="12"/>
  <c r="I30" i="9"/>
  <c r="I13" i="9"/>
  <c r="I26" i="9"/>
  <c r="I20" i="9"/>
  <c r="I23" i="9"/>
  <c r="I45" i="9"/>
  <c r="I22" i="9"/>
  <c r="I40" i="9"/>
  <c r="I35" i="9"/>
  <c r="I50" i="9"/>
  <c r="I39" i="9"/>
  <c r="I57" i="9"/>
  <c r="I38" i="9"/>
  <c r="I56" i="9"/>
  <c r="I53" i="9"/>
  <c r="I36" i="9"/>
  <c r="I46" i="9"/>
  <c r="I64" i="9"/>
  <c r="I59" i="9"/>
  <c r="I42" i="9"/>
  <c r="I60" i="9"/>
  <c r="I52" i="9"/>
  <c r="I43" i="9"/>
  <c r="I58" i="9"/>
  <c r="I62" i="9"/>
  <c r="I19" i="9"/>
  <c r="I18" i="9"/>
  <c r="I65" i="9"/>
  <c r="I37" i="9"/>
  <c r="I15" i="9"/>
  <c r="I27" i="9"/>
  <c r="I17" i="9"/>
  <c r="I49" i="9"/>
  <c r="L48" i="10" l="1"/>
  <c r="H77" i="6" s="1"/>
  <c r="L49" i="10"/>
  <c r="L50" i="10"/>
  <c r="H81" i="6" s="1"/>
  <c r="R91" i="6" s="1"/>
  <c r="L51" i="10"/>
  <c r="H92" i="6" s="1"/>
  <c r="R92" i="6" s="1"/>
  <c r="L52" i="10"/>
  <c r="H87" i="6" s="1"/>
  <c r="L53" i="10"/>
  <c r="L54" i="10"/>
  <c r="L55" i="10"/>
  <c r="L56" i="10"/>
  <c r="H112" i="6" s="1"/>
  <c r="L57" i="10"/>
  <c r="H65" i="6" s="1"/>
  <c r="L58" i="10"/>
  <c r="L59" i="10"/>
  <c r="H113" i="6" s="1"/>
  <c r="R113" i="6" s="1"/>
  <c r="L60" i="10"/>
  <c r="L61" i="10"/>
  <c r="L62" i="10"/>
  <c r="L63" i="10"/>
  <c r="L64" i="10"/>
  <c r="H114" i="6" s="1"/>
  <c r="R114" i="6" s="1"/>
  <c r="L65" i="10"/>
  <c r="I53" i="10"/>
  <c r="I54" i="10"/>
  <c r="I57" i="10"/>
  <c r="I59" i="10"/>
  <c r="I47" i="10"/>
  <c r="I50" i="10"/>
  <c r="I58" i="10"/>
  <c r="I55" i="10"/>
  <c r="I63" i="10"/>
  <c r="I60" i="10"/>
  <c r="I64" i="10"/>
  <c r="I65" i="10"/>
  <c r="I51" i="10"/>
  <c r="I62" i="10"/>
  <c r="I52" i="10"/>
  <c r="I48" i="10"/>
  <c r="I56" i="10"/>
  <c r="I61" i="10"/>
  <c r="I35" i="10"/>
  <c r="I32" i="10"/>
  <c r="I31" i="10"/>
  <c r="I29" i="10"/>
  <c r="I24" i="10"/>
  <c r="I15" i="10"/>
  <c r="I21" i="10"/>
  <c r="I42" i="10"/>
  <c r="I14" i="10"/>
  <c r="I16" i="10"/>
  <c r="I30" i="10"/>
  <c r="I41" i="10"/>
  <c r="I36" i="10"/>
  <c r="I25" i="10"/>
  <c r="I38" i="10"/>
  <c r="I26" i="10"/>
  <c r="I49" i="10"/>
  <c r="I33" i="10"/>
  <c r="I19" i="10"/>
  <c r="I27" i="10"/>
  <c r="I23" i="10"/>
  <c r="I46" i="10"/>
  <c r="I13" i="10"/>
  <c r="I43" i="10"/>
  <c r="I34" i="10"/>
  <c r="I17" i="10"/>
  <c r="I18" i="10"/>
  <c r="I20" i="10"/>
  <c r="I40" i="10"/>
  <c r="I45" i="10"/>
  <c r="I37" i="10"/>
  <c r="I39" i="10"/>
  <c r="I44" i="10"/>
  <c r="I22" i="10"/>
  <c r="I28" i="10"/>
  <c r="I12" i="10"/>
  <c r="L13" i="5" l="1"/>
  <c r="O13" i="5" s="1"/>
  <c r="L14" i="5"/>
  <c r="O14" i="5" s="1"/>
  <c r="L15" i="5"/>
  <c r="O15" i="5" s="1"/>
  <c r="L16" i="5"/>
  <c r="O16" i="5" s="1"/>
  <c r="L17" i="5"/>
  <c r="O17" i="5" s="1"/>
  <c r="L18" i="5"/>
  <c r="O18" i="5" s="1"/>
  <c r="L19" i="5"/>
  <c r="O19" i="5" s="1"/>
  <c r="L20" i="5"/>
  <c r="O20" i="5" s="1"/>
  <c r="L21" i="5"/>
  <c r="O21" i="5" s="1"/>
  <c r="L22" i="5"/>
  <c r="O22" i="5" s="1"/>
  <c r="L23" i="5"/>
  <c r="O23" i="5" s="1"/>
  <c r="L24" i="5"/>
  <c r="O24" i="5" s="1"/>
  <c r="L25" i="5"/>
  <c r="O25" i="5" s="1"/>
  <c r="L26" i="5"/>
  <c r="O26" i="5" s="1"/>
  <c r="L27" i="5"/>
  <c r="O27" i="5" s="1"/>
  <c r="L28" i="5"/>
  <c r="O28" i="5" s="1"/>
  <c r="L29" i="5"/>
  <c r="O29" i="5" s="1"/>
  <c r="L30" i="5"/>
  <c r="O30" i="5" s="1"/>
  <c r="L31" i="5"/>
  <c r="O31" i="5" s="1"/>
  <c r="L32" i="5"/>
  <c r="O32" i="5" s="1"/>
  <c r="L33" i="5"/>
  <c r="O33" i="5" s="1"/>
  <c r="L34" i="5"/>
  <c r="O34" i="5" s="1"/>
  <c r="L35" i="5"/>
  <c r="O35" i="5" s="1"/>
  <c r="L36" i="5"/>
  <c r="O36" i="5" s="1"/>
  <c r="L37" i="5"/>
  <c r="O37" i="5" s="1"/>
  <c r="R61" i="6"/>
  <c r="L38" i="5"/>
  <c r="O38" i="5" s="1"/>
  <c r="L39" i="5"/>
  <c r="O39" i="5" s="1"/>
  <c r="L40" i="5"/>
  <c r="O40" i="5" s="1"/>
  <c r="L41" i="5"/>
  <c r="O41" i="5" s="1"/>
  <c r="L42" i="5"/>
  <c r="O42" i="5" s="1"/>
  <c r="L43" i="5"/>
  <c r="O43" i="5" s="1"/>
  <c r="L44" i="5"/>
  <c r="O44" i="5" s="1"/>
  <c r="L45" i="5"/>
  <c r="O45" i="5" s="1"/>
  <c r="L46" i="5"/>
  <c r="O46" i="5" s="1"/>
  <c r="L47" i="5"/>
  <c r="O47" i="5" s="1"/>
  <c r="L48" i="5"/>
  <c r="O48" i="5" s="1"/>
  <c r="L49" i="5"/>
  <c r="O49" i="5" s="1"/>
  <c r="L50" i="5"/>
  <c r="O50" i="5" s="1"/>
  <c r="L51" i="5"/>
  <c r="O51" i="5" s="1"/>
  <c r="R101" i="6"/>
  <c r="L52" i="5"/>
  <c r="O52" i="5" s="1"/>
  <c r="L53" i="5"/>
  <c r="O53" i="5" s="1"/>
  <c r="L54" i="5"/>
  <c r="O54" i="5" s="1"/>
  <c r="L55" i="5"/>
  <c r="O55" i="5" s="1"/>
  <c r="L56" i="5"/>
  <c r="O56" i="5" s="1"/>
  <c r="R108" i="6"/>
  <c r="L57" i="5"/>
  <c r="O57" i="5" s="1"/>
  <c r="R99" i="6"/>
  <c r="R103" i="6"/>
  <c r="R93" i="6"/>
  <c r="R100" i="6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12" i="10"/>
  <c r="L13" i="9"/>
  <c r="O13" i="9" s="1"/>
  <c r="L14" i="9"/>
  <c r="O14" i="9" s="1"/>
  <c r="L15" i="9"/>
  <c r="O15" i="9" s="1"/>
  <c r="L16" i="9"/>
  <c r="O16" i="9" s="1"/>
  <c r="L17" i="9"/>
  <c r="O17" i="9" s="1"/>
  <c r="L18" i="9"/>
  <c r="O18" i="9" s="1"/>
  <c r="L19" i="9"/>
  <c r="O19" i="9" s="1"/>
  <c r="L20" i="9"/>
  <c r="O20" i="9" s="1"/>
  <c r="L21" i="9"/>
  <c r="O21" i="9" s="1"/>
  <c r="L22" i="9"/>
  <c r="O22" i="9" s="1"/>
  <c r="L23" i="9"/>
  <c r="O23" i="9" s="1"/>
  <c r="L24" i="9"/>
  <c r="O24" i="9" s="1"/>
  <c r="L25" i="9"/>
  <c r="O25" i="9" s="1"/>
  <c r="L26" i="9"/>
  <c r="O26" i="9" s="1"/>
  <c r="L27" i="9"/>
  <c r="O27" i="9" s="1"/>
  <c r="L28" i="9"/>
  <c r="O28" i="9" s="1"/>
  <c r="L29" i="9"/>
  <c r="O29" i="9" s="1"/>
  <c r="L30" i="9"/>
  <c r="O30" i="9" s="1"/>
  <c r="L31" i="9"/>
  <c r="O31" i="9" s="1"/>
  <c r="L32" i="9"/>
  <c r="O32" i="9" s="1"/>
  <c r="L33" i="9"/>
  <c r="O33" i="9" s="1"/>
  <c r="L34" i="9"/>
  <c r="O34" i="9" s="1"/>
  <c r="L35" i="9"/>
  <c r="O35" i="9" s="1"/>
  <c r="L36" i="9"/>
  <c r="O36" i="9" s="1"/>
  <c r="L37" i="9"/>
  <c r="O37" i="9" s="1"/>
  <c r="L38" i="9"/>
  <c r="O38" i="9" s="1"/>
  <c r="L39" i="9"/>
  <c r="O39" i="9" s="1"/>
  <c r="L40" i="9"/>
  <c r="O40" i="9" s="1"/>
  <c r="L41" i="9"/>
  <c r="O41" i="9" s="1"/>
  <c r="L42" i="9"/>
  <c r="O42" i="9" s="1"/>
  <c r="L43" i="9"/>
  <c r="O43" i="9" s="1"/>
  <c r="L44" i="9"/>
  <c r="O44" i="9" s="1"/>
  <c r="L12" i="9"/>
  <c r="O12" i="9" s="1"/>
  <c r="L12" i="5"/>
  <c r="O12" i="5" s="1"/>
  <c r="R96" i="6" l="1"/>
  <c r="R72" i="6"/>
  <c r="R53" i="6"/>
  <c r="R97" i="6"/>
  <c r="R104" i="6"/>
  <c r="R88" i="6"/>
  <c r="R58" i="6"/>
  <c r="R37" i="6"/>
  <c r="R14" i="6"/>
  <c r="R30" i="6"/>
  <c r="R13" i="6"/>
  <c r="R27" i="6"/>
  <c r="R102" i="6"/>
  <c r="R111" i="6"/>
  <c r="R25" i="6"/>
  <c r="R90" i="6"/>
  <c r="R82" i="6"/>
  <c r="R105" i="6"/>
  <c r="R75" i="6"/>
  <c r="R98" i="6"/>
  <c r="R48" i="6"/>
  <c r="R109" i="6"/>
  <c r="R23" i="6"/>
  <c r="R89" i="6"/>
  <c r="R85" i="6"/>
  <c r="R43" i="6"/>
  <c r="R107" i="6"/>
  <c r="R106" i="6"/>
  <c r="R95" i="6"/>
  <c r="R66" i="6"/>
  <c r="R112" i="6"/>
  <c r="R46" i="6"/>
  <c r="R94" i="6"/>
  <c r="R32" i="6"/>
  <c r="R20" i="6"/>
  <c r="R83" i="6"/>
  <c r="R87" i="6"/>
  <c r="R77" i="6"/>
  <c r="R110" i="6"/>
  <c r="H18" i="6"/>
  <c r="H29" i="6"/>
  <c r="R17" i="6" s="1"/>
  <c r="H11" i="6"/>
  <c r="R21" i="6" s="1"/>
  <c r="H39" i="6"/>
  <c r="H20" i="6"/>
  <c r="R7" i="6" s="1"/>
  <c r="H42" i="6"/>
  <c r="R26" i="6" s="1"/>
  <c r="H6" i="6"/>
  <c r="H46" i="6"/>
  <c r="H51" i="6"/>
  <c r="R31" i="6" s="1"/>
  <c r="H55" i="6"/>
  <c r="R34" i="6" s="1"/>
  <c r="H57" i="6"/>
  <c r="H17" i="6"/>
  <c r="H33" i="6"/>
  <c r="R39" i="6" s="1"/>
  <c r="H83" i="6"/>
  <c r="R41" i="6" s="1"/>
  <c r="H23" i="6"/>
  <c r="R11" i="6" s="1"/>
  <c r="H86" i="6"/>
  <c r="R44" i="6" s="1"/>
  <c r="H88" i="6"/>
  <c r="R47" i="6" s="1"/>
  <c r="H25" i="6"/>
  <c r="H90" i="6"/>
  <c r="R49" i="6" s="1"/>
  <c r="H13" i="6"/>
  <c r="R51" i="6" s="1"/>
  <c r="H19" i="6"/>
  <c r="R54" i="6" s="1"/>
  <c r="H22" i="6"/>
  <c r="H27" i="6"/>
  <c r="H35" i="6"/>
  <c r="R62" i="6" s="1"/>
  <c r="H48" i="6"/>
  <c r="R29" i="6" s="1"/>
  <c r="H36" i="6"/>
  <c r="H54" i="6"/>
  <c r="R70" i="6" s="1"/>
  <c r="H60" i="6"/>
  <c r="R73" i="6" s="1"/>
  <c r="H64" i="6"/>
  <c r="H70" i="6"/>
  <c r="R79" i="6" s="1"/>
  <c r="H74" i="6"/>
  <c r="R84" i="6" s="1"/>
  <c r="H76" i="6"/>
  <c r="R86" i="6" s="1"/>
  <c r="H5" i="6"/>
  <c r="H3" i="6" l="1"/>
  <c r="R68" i="6"/>
  <c r="F128" i="6"/>
  <c r="O128" i="6" s="1"/>
  <c r="R64" i="6"/>
  <c r="F129" i="6"/>
  <c r="O129" i="6" s="1"/>
  <c r="F125" i="6"/>
  <c r="O125" i="6" s="1"/>
  <c r="R55" i="6"/>
  <c r="F127" i="6"/>
  <c r="O127" i="6" s="1"/>
  <c r="R33" i="6"/>
  <c r="R24" i="6"/>
  <c r="R76" i="6"/>
  <c r="R56" i="6"/>
  <c r="R8" i="6"/>
  <c r="R28" i="6"/>
  <c r="R22" i="6"/>
  <c r="R15" i="6"/>
  <c r="R5" i="6"/>
  <c r="O13" i="6"/>
  <c r="O97" i="6"/>
  <c r="T97" i="6" s="1"/>
  <c r="O42" i="6"/>
  <c r="O70" i="6"/>
  <c r="O22" i="6"/>
  <c r="O54" i="6"/>
  <c r="O19" i="6"/>
  <c r="O35" i="6"/>
  <c r="O46" i="6"/>
  <c r="O67" i="10"/>
  <c r="H2" i="6" s="1"/>
  <c r="O81" i="6"/>
  <c r="O41" i="6"/>
  <c r="O39" i="6"/>
  <c r="O50" i="6"/>
  <c r="O24" i="6"/>
  <c r="O100" i="6"/>
  <c r="T100" i="6" s="1"/>
  <c r="O109" i="6"/>
  <c r="T109" i="6" s="1"/>
  <c r="O76" i="6"/>
  <c r="O95" i="6"/>
  <c r="T95" i="6" s="1"/>
  <c r="O53" i="6"/>
  <c r="O106" i="6"/>
  <c r="T106" i="6" s="1"/>
  <c r="O89" i="6"/>
  <c r="O113" i="6"/>
  <c r="T113" i="6" s="1"/>
  <c r="O114" i="6"/>
  <c r="T114" i="6" s="1"/>
  <c r="O73" i="6"/>
  <c r="O111" i="6"/>
  <c r="T111" i="6" s="1"/>
  <c r="O28" i="6"/>
  <c r="O78" i="6"/>
  <c r="O101" i="6"/>
  <c r="T101" i="6" s="1"/>
  <c r="O102" i="6"/>
  <c r="T102" i="6" s="1"/>
  <c r="R10" i="6"/>
  <c r="R9" i="6"/>
  <c r="R6" i="6"/>
  <c r="R35" i="6"/>
  <c r="R36" i="6"/>
  <c r="R38" i="6"/>
  <c r="R40" i="6"/>
  <c r="R42" i="6"/>
  <c r="R12" i="6"/>
  <c r="R18" i="6"/>
  <c r="R45" i="6"/>
  <c r="R50" i="6"/>
  <c r="R52" i="6"/>
  <c r="R57" i="6"/>
  <c r="R65" i="6"/>
  <c r="R67" i="6"/>
  <c r="R69" i="6"/>
  <c r="R78" i="6"/>
  <c r="R80" i="6"/>
  <c r="R81" i="6"/>
  <c r="R19" i="6"/>
  <c r="O79" i="6"/>
  <c r="T24" i="6" l="1"/>
  <c r="R59" i="6"/>
  <c r="R74" i="6"/>
  <c r="R16" i="6"/>
  <c r="R71" i="6"/>
  <c r="R63" i="6"/>
  <c r="R60" i="6"/>
  <c r="O25" i="6"/>
  <c r="O48" i="6"/>
  <c r="O90" i="6"/>
  <c r="O36" i="6"/>
  <c r="T22" i="6" s="1"/>
  <c r="O17" i="6"/>
  <c r="O20" i="6"/>
  <c r="O85" i="6"/>
  <c r="T42" i="6" s="1"/>
  <c r="O65" i="6"/>
  <c r="O52" i="6"/>
  <c r="O86" i="6"/>
  <c r="O72" i="6"/>
  <c r="T81" i="6" s="1"/>
  <c r="O18" i="6"/>
  <c r="O40" i="6"/>
  <c r="O66" i="6"/>
  <c r="O37" i="6"/>
  <c r="O43" i="6"/>
  <c r="O12" i="6"/>
  <c r="O91" i="6"/>
  <c r="T50" i="6" s="1"/>
  <c r="F2" i="6"/>
  <c r="O94" i="6"/>
  <c r="T94" i="6" s="1"/>
  <c r="O51" i="6"/>
  <c r="O98" i="6"/>
  <c r="T98" i="6" s="1"/>
  <c r="O63" i="6"/>
  <c r="O80" i="6"/>
  <c r="O59" i="6"/>
  <c r="O44" i="6"/>
  <c r="O82" i="6"/>
  <c r="O67" i="6"/>
  <c r="T46" i="6" s="1"/>
  <c r="O10" i="6"/>
  <c r="O71" i="6"/>
  <c r="O104" i="6"/>
  <c r="T104" i="6" s="1"/>
  <c r="O55" i="6"/>
  <c r="O16" i="6"/>
  <c r="T53" i="6" s="1"/>
  <c r="O32" i="6"/>
  <c r="T32" i="6" s="1"/>
  <c r="O112" i="6"/>
  <c r="T112" i="6" s="1"/>
  <c r="O88" i="6"/>
  <c r="O74" i="6"/>
  <c r="O75" i="6"/>
  <c r="O64" i="6"/>
  <c r="T76" i="6" s="1"/>
  <c r="O99" i="6"/>
  <c r="T99" i="6" s="1"/>
  <c r="O84" i="6"/>
  <c r="O103" i="6"/>
  <c r="T103" i="6" s="1"/>
  <c r="O83" i="6"/>
  <c r="T41" i="6" s="1"/>
  <c r="O29" i="6"/>
  <c r="O6" i="6"/>
  <c r="O15" i="6"/>
  <c r="T20" i="6" s="1"/>
  <c r="O105" i="6"/>
  <c r="T105" i="6" s="1"/>
  <c r="O108" i="6"/>
  <c r="T108" i="6" s="1"/>
  <c r="O96" i="6"/>
  <c r="T96" i="6" s="1"/>
  <c r="O11" i="6"/>
  <c r="O23" i="6"/>
  <c r="O7" i="6"/>
  <c r="O58" i="6"/>
  <c r="T58" i="6" s="1"/>
  <c r="O34" i="6"/>
  <c r="O93" i="6"/>
  <c r="T93" i="6" s="1"/>
  <c r="O57" i="6"/>
  <c r="O14" i="6"/>
  <c r="T52" i="6" s="1"/>
  <c r="O33" i="6"/>
  <c r="T39" i="6" s="1"/>
  <c r="O26" i="6"/>
  <c r="O5" i="6"/>
  <c r="T5" i="6" s="1"/>
  <c r="O60" i="6"/>
  <c r="T73" i="6" s="1"/>
  <c r="O45" i="6"/>
  <c r="O68" i="6"/>
  <c r="T68" i="6" s="1"/>
  <c r="O62" i="6"/>
  <c r="T62" i="6" s="1"/>
  <c r="O38" i="6"/>
  <c r="O49" i="6"/>
  <c r="O8" i="6"/>
  <c r="O21" i="6"/>
  <c r="O110" i="6"/>
  <c r="T110" i="6" s="1"/>
  <c r="O107" i="6"/>
  <c r="T107" i="6" s="1"/>
  <c r="O92" i="6"/>
  <c r="T92" i="6" s="1"/>
  <c r="O87" i="6"/>
  <c r="O77" i="6"/>
  <c r="T55" i="6" l="1"/>
  <c r="T25" i="6"/>
  <c r="T40" i="6"/>
  <c r="T36" i="6"/>
  <c r="T17" i="6"/>
  <c r="T10" i="6"/>
  <c r="T15" i="6"/>
  <c r="T45" i="6"/>
  <c r="T75" i="6"/>
  <c r="T57" i="6"/>
  <c r="T11" i="6"/>
  <c r="T8" i="6"/>
  <c r="T49" i="6"/>
  <c r="T67" i="6"/>
  <c r="T21" i="6"/>
  <c r="T18" i="6"/>
  <c r="T29" i="6"/>
  <c r="T26" i="6"/>
  <c r="T23" i="6"/>
  <c r="T72" i="6"/>
  <c r="T84" i="6"/>
  <c r="T12" i="6"/>
  <c r="T43" i="6"/>
  <c r="T6" i="6"/>
  <c r="T70" i="6"/>
  <c r="T19" i="6"/>
  <c r="T44" i="6"/>
  <c r="T79" i="6"/>
  <c r="T54" i="6"/>
  <c r="T28" i="6"/>
  <c r="T91" i="6"/>
  <c r="T35" i="6"/>
  <c r="T37" i="6"/>
  <c r="T34" i="6"/>
  <c r="T88" i="6"/>
  <c r="T83" i="6"/>
  <c r="T33" i="6"/>
  <c r="T90" i="6"/>
  <c r="T77" i="6"/>
  <c r="T85" i="6"/>
  <c r="T80" i="6"/>
  <c r="T78" i="6"/>
  <c r="T7" i="6"/>
  <c r="T86" i="6"/>
  <c r="T89" i="6"/>
  <c r="T51" i="6"/>
  <c r="O68" i="10"/>
  <c r="O68" i="12"/>
  <c r="O68" i="14"/>
  <c r="O68" i="16"/>
  <c r="O68" i="13"/>
  <c r="O68" i="15"/>
  <c r="O27" i="6"/>
  <c r="T27" i="6" s="1"/>
  <c r="O31" i="6"/>
  <c r="T31" i="6" s="1"/>
  <c r="O61" i="6"/>
  <c r="T74" i="6" s="1"/>
  <c r="O69" i="6"/>
  <c r="T63" i="6" s="1"/>
  <c r="O30" i="6"/>
  <c r="T59" i="6" s="1"/>
  <c r="O56" i="6"/>
  <c r="T71" i="6" s="1"/>
  <c r="F4" i="6"/>
  <c r="O9" i="6"/>
  <c r="T13" i="6" s="1"/>
  <c r="G4" i="6"/>
  <c r="H4" i="6"/>
  <c r="O47" i="6"/>
  <c r="T47" i="6" s="1"/>
  <c r="T30" i="6" l="1"/>
  <c r="T69" i="6"/>
  <c r="T56" i="6"/>
  <c r="T9" i="6"/>
  <c r="T61" i="6"/>
  <c r="T14" i="6"/>
  <c r="T87" i="6"/>
  <c r="T38" i="6"/>
  <c r="T60" i="6"/>
  <c r="T64" i="6"/>
  <c r="T65" i="6"/>
  <c r="T66" i="6"/>
  <c r="T48" i="6"/>
  <c r="T16" i="6"/>
  <c r="T82" i="6"/>
  <c r="O61" i="5"/>
</calcChain>
</file>

<file path=xl/sharedStrings.xml><?xml version="1.0" encoding="utf-8"?>
<sst xmlns="http://schemas.openxmlformats.org/spreadsheetml/2006/main" count="980" uniqueCount="303">
  <si>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</si>
  <si>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</si>
  <si>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</si>
  <si>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</si>
  <si>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</si>
  <si>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</si>
  <si>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</si>
  <si>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</si>
  <si>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</si>
  <si>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</si>
  <si>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</si>
  <si>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</si>
  <si>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</si>
  <si>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</si>
  <si>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</si>
  <si>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</si>
  <si>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</si>
  <si>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</si>
  <si>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</si>
  <si>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PRESOLANA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</si>
  <si>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</si>
  <si>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</si>
  <si>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</si>
  <si>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</si>
  <si>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</si>
  <si>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</si>
  <si>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</si>
  <si>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</si>
  <si>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</si>
  <si>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</si>
  <si>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</si>
  <si>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</si>
  <si>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</si>
  <si>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</si>
  <si>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</si>
  <si>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</si>
  <si>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</si>
  <si>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</si>
  <si>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</si>
  <si>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</si>
  <si>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</si>
  <si>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</si>
  <si>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</si>
  <si>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</si>
  <si>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</si>
  <si>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</si>
  <si>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</si>
  <si>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</si>
  <si>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</si>
  <si>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FICR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</si>
  <si>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</si>
  <si>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</si>
  <si>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</si>
  <si>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</si>
  <si>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</si>
  <si>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</si>
  <si>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</si>
  <si>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</si>
  <si>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</si>
  <si>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</si>
  <si>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</si>
  <si>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</si>
  <si>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</si>
  <si>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</si>
  <si>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2o MEMORIAL NORA SCIPLINO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</si>
  <si>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</si>
  <si>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</si>
  <si>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</si>
  <si>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</si>
  <si>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</si>
  <si>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</si>
  <si>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</si>
  <si>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</si>
  <si>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</si>
  <si>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</si>
  <si>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</si>
  <si>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</si>
  <si>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</si>
  <si>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CUCCINIELLO ALFREDO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</si>
  <si>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</si>
  <si>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</si>
  <si>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</si>
  <si>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</si>
  <si>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</si>
  <si>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</si>
  <si>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</si>
  <si>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</si>
  <si>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</si>
  <si>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</si>
  <si>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</si>
  <si>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</si>
  <si>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</si>
  <si>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</si>
  <si>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</si>
  <si>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</si>
  <si>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</si>
  <si>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</si>
  <si>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</si>
  <si>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</si>
  <si>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</si>
  <si>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</si>
  <si>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</si>
  <si>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 xml:space="preserve">XXVII Memorial Castellotti </t>
  </si>
  <si>
    <t>Scuderia CASTELLOTTI</t>
  </si>
  <si>
    <t xml:space="preserve">17° Raduno della Solidarietà </t>
  </si>
  <si>
    <t>Club Orobico</t>
  </si>
  <si>
    <t>34a RIEVOCAZIONE GIRO DEL LARIO</t>
  </si>
  <si>
    <t>VCC Como</t>
  </si>
  <si>
    <t>10-11/06/2023</t>
  </si>
  <si>
    <t>24-25/06/2023</t>
  </si>
  <si>
    <t>32a COPPA 3 LAGHI/ CAMPO DEI FIORI</t>
  </si>
  <si>
    <t>21a CRONOSCALATA ERBA - MADONNA DEL GHISALLO</t>
  </si>
  <si>
    <t>VIII TROFEO AMBROSIANO</t>
  </si>
  <si>
    <t>13a RIEVOCAZIONE STORICA COPPA DELLA PRESOLANA</t>
  </si>
  <si>
    <t>25-26/11/2023</t>
  </si>
  <si>
    <t>SOLIDARIETA'</t>
  </si>
  <si>
    <t>GIRO LARIO</t>
  </si>
  <si>
    <t xml:space="preserve"> CAMPO FIORI</t>
  </si>
  <si>
    <t>ERBA GHISALLO</t>
  </si>
  <si>
    <t>AMBROSIANO</t>
  </si>
  <si>
    <t>C</t>
  </si>
  <si>
    <t>provvisoria</t>
  </si>
  <si>
    <t>FIAT</t>
  </si>
  <si>
    <t>124 Spider</t>
  </si>
  <si>
    <t>508 C</t>
  </si>
  <si>
    <t>Autobianchi</t>
  </si>
  <si>
    <t>A112 Abarth</t>
  </si>
  <si>
    <t>Porsche</t>
  </si>
  <si>
    <t>356 SC</t>
  </si>
  <si>
    <t>Triumph</t>
  </si>
  <si>
    <t>TR3</t>
  </si>
  <si>
    <t>124 Coupè</t>
  </si>
  <si>
    <t>Innocenti</t>
  </si>
  <si>
    <t>Mini Cooper</t>
  </si>
  <si>
    <t>TR4</t>
  </si>
  <si>
    <t>Lancia</t>
  </si>
  <si>
    <t>Aprilia</t>
  </si>
  <si>
    <t>Alfa Romeo</t>
  </si>
  <si>
    <t>2000 GTV</t>
  </si>
  <si>
    <t>Fulvia HF</t>
  </si>
  <si>
    <t>Volkswagen</t>
  </si>
  <si>
    <t>Golf GTI</t>
  </si>
  <si>
    <t>Appia</t>
  </si>
  <si>
    <t>850 Spider</t>
  </si>
  <si>
    <t>Fulvia Montecarlo</t>
  </si>
  <si>
    <t>MG</t>
  </si>
  <si>
    <t>B GT</t>
  </si>
  <si>
    <t>Junior Zagato</t>
  </si>
  <si>
    <t>Abarth</t>
  </si>
  <si>
    <t>750 GT</t>
  </si>
  <si>
    <t>A111</t>
  </si>
  <si>
    <t>1100 R</t>
  </si>
  <si>
    <t>BMW</t>
  </si>
  <si>
    <t>320/6</t>
  </si>
  <si>
    <t>127</t>
  </si>
  <si>
    <t>Fulvia</t>
  </si>
  <si>
    <t>Delta Evo2</t>
  </si>
  <si>
    <t>TD</t>
  </si>
  <si>
    <t>Toyota</t>
  </si>
  <si>
    <t>Celica</t>
  </si>
  <si>
    <t>FVVC</t>
  </si>
  <si>
    <t>TR3A</t>
  </si>
  <si>
    <t>1100 E</t>
  </si>
  <si>
    <t>Delta Evo1</t>
  </si>
  <si>
    <t>Mercedes</t>
  </si>
  <si>
    <t>356C</t>
  </si>
  <si>
    <t>Ritmo Cabrio</t>
  </si>
  <si>
    <t>500</t>
  </si>
  <si>
    <t>Spider</t>
  </si>
  <si>
    <t>SL 550</t>
  </si>
  <si>
    <t>MEDIA</t>
  </si>
  <si>
    <t>AMAMS</t>
  </si>
  <si>
    <t>CLASSIC CLUB ITALIA</t>
  </si>
  <si>
    <t>CMAE</t>
  </si>
  <si>
    <t>MAMS</t>
  </si>
  <si>
    <t>OMCB</t>
  </si>
  <si>
    <t>VCC COMO</t>
  </si>
  <si>
    <t>Mantova</t>
  </si>
  <si>
    <t>Lodi</t>
  </si>
  <si>
    <t>Milano</t>
  </si>
  <si>
    <t>Bergamo</t>
  </si>
  <si>
    <t>Monza</t>
  </si>
  <si>
    <t>Sondrio</t>
  </si>
  <si>
    <t>Varese</t>
  </si>
  <si>
    <t>Como</t>
  </si>
  <si>
    <t>club</t>
  </si>
  <si>
    <t>Primi 5 di squadra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</si>
  <si>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</si>
  <si>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</si>
  <si>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</si>
  <si>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</si>
  <si>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</si>
  <si>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</si>
  <si>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</si>
  <si>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</si>
  <si>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</si>
  <si>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</si>
  <si>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</si>
  <si>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</si>
  <si>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</si>
  <si>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</si>
  <si>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</si>
  <si>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</si>
  <si>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</si>
  <si>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</si>
  <si>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</si>
  <si>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</si>
  <si>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</si>
  <si>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</si>
  <si>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</si>
  <si>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</si>
  <si>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</si>
  <si>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</si>
  <si>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</si>
  <si>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</si>
  <si>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</si>
  <si>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</si>
  <si>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</si>
  <si>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</si>
  <si>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</si>
  <si>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</si>
  <si>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</si>
  <si>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</si>
  <si>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</si>
  <si>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</si>
  <si>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</si>
  <si>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</si>
  <si>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</si>
  <si>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</si>
  <si>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</si>
  <si>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GIULIETTA SPIDER</t>
  </si>
  <si>
    <t>ALFA ROMEO</t>
  </si>
  <si>
    <t>AUSTIN HEALEY</t>
  </si>
  <si>
    <t>LANCIA</t>
  </si>
  <si>
    <t>BUGATTI</t>
  </si>
  <si>
    <t>AUTOBIANCHI</t>
  </si>
  <si>
    <t>PORSCHE</t>
  </si>
  <si>
    <t>TRIUMPH</t>
  </si>
  <si>
    <t>AUDI</t>
  </si>
  <si>
    <t>LOTUS</t>
  </si>
  <si>
    <t>TOYOTA</t>
  </si>
  <si>
    <t xml:space="preserve">MG </t>
  </si>
  <si>
    <t>JAGUAR</t>
  </si>
  <si>
    <t>INNOCENTI</t>
  </si>
  <si>
    <t>PEUGEOT</t>
  </si>
  <si>
    <t>OSCA</t>
  </si>
  <si>
    <t>MINI</t>
  </si>
  <si>
    <t>GIULIA 1600 SPIDER</t>
  </si>
  <si>
    <t>LAMBDA VII SERIE</t>
  </si>
  <si>
    <t>T40 GRAND SPORT</t>
  </si>
  <si>
    <t>850 SPORT COUPE'</t>
  </si>
  <si>
    <t>124 SPIDER</t>
  </si>
  <si>
    <t>A112 ABARTH 70HP</t>
  </si>
  <si>
    <t>FULVIA COUPE' RALLYE 1.3S</t>
  </si>
  <si>
    <t>124 SPORT COUPE'</t>
  </si>
  <si>
    <t>A ROADSTER</t>
  </si>
  <si>
    <t>B GT SEBRING</t>
  </si>
  <si>
    <t>SPITFIRE MK3</t>
  </si>
  <si>
    <t>356</t>
  </si>
  <si>
    <t>100/4</t>
  </si>
  <si>
    <t>80 CABRIO 1.8</t>
  </si>
  <si>
    <t>924</t>
  </si>
  <si>
    <t>SUPER SEVEN COSWORTH</t>
  </si>
  <si>
    <t>600D</t>
  </si>
  <si>
    <t>993 CARRERA 4 CAB.</t>
  </si>
  <si>
    <t>CELICA GT FOUR</t>
  </si>
  <si>
    <t xml:space="preserve"> CELICA CARLOS SAINZ</t>
  </si>
  <si>
    <t>508 BALILLA</t>
  </si>
  <si>
    <t>CINQUECENTO ED</t>
  </si>
  <si>
    <t>911 2.4 S</t>
  </si>
  <si>
    <t>E TYPE ROADSTER</t>
  </si>
  <si>
    <t>DELTA</t>
  </si>
  <si>
    <t>DELTA INTEGRALE 2000 16V</t>
  </si>
  <si>
    <t>328</t>
  </si>
  <si>
    <t>1100/103</t>
  </si>
  <si>
    <t>TA</t>
  </si>
  <si>
    <t>124 SPIDER 1.6</t>
  </si>
  <si>
    <t>MINI COOPER 1300</t>
  </si>
  <si>
    <t>911-996 CARRERA 4 CAB</t>
  </si>
  <si>
    <t>205 OPEN</t>
  </si>
  <si>
    <t>128 BERLINA 1100 4 PORTE</t>
  </si>
  <si>
    <t>205 RALLYE</t>
  </si>
  <si>
    <t>ARDEA</t>
  </si>
  <si>
    <t>FULVIA COUPE'</t>
  </si>
  <si>
    <t>X1/9</t>
  </si>
  <si>
    <t>GIULIETTA 1.6</t>
  </si>
  <si>
    <t xml:space="preserve"> DUETTO</t>
  </si>
  <si>
    <t>DELTA 1500</t>
  </si>
  <si>
    <t>A112 ABARTH</t>
  </si>
  <si>
    <t>DELTA INTEGRALE EV02</t>
  </si>
  <si>
    <t>FULVIA COUPE' 1.6 HF</t>
  </si>
  <si>
    <t>1600 GT2 FISSORE</t>
  </si>
  <si>
    <t>356 C</t>
  </si>
  <si>
    <t>A112</t>
  </si>
  <si>
    <t xml:space="preserve"> Z3</t>
  </si>
  <si>
    <t>COOPER 1.3</t>
  </si>
  <si>
    <t>F VVC</t>
  </si>
  <si>
    <t>Classifica senza Power Stage</t>
  </si>
  <si>
    <t>giovani</t>
  </si>
  <si>
    <t>Crono Car Service</t>
  </si>
  <si>
    <t xml:space="preserve">DEL BO ROBERTO </t>
  </si>
  <si>
    <t>Ferrari</t>
  </si>
  <si>
    <t>208 GTS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</si>
</sst>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43" fontId="0" fillId="0" borderId="0" xfId="0" applyNumberFormat="1"/>
    <xf numFmtId="14" fontId="0" fillId="0" borderId="0" xfId="0" applyNumberFormat="1"/>
    <xf numFmtId="43" fontId="0" fillId="0" borderId="0" xfId="1" applyFont="1" applyAlignment="1">
      <alignment horizontal="center"/>
    </xf>
    <xf numFmtId="43" fontId="0" fillId="0" borderId="0" xfId="1" applyFont="1" applyAlignment="1"/>
    <xf numFmtId="43" fontId="0" fillId="0" borderId="0" xfId="1" applyFont="1" applyAlignment="1">
      <alignment vertical="center"/>
    </xf>
    <xf numFmtId="43" fontId="2" fillId="0" borderId="0" xfId="1" applyFon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3" fontId="2" fillId="0" borderId="11" xfId="1" applyFont="1" applyBorder="1"/>
    <xf numFmtId="43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43" fontId="2" fillId="0" borderId="4" xfId="1" applyFont="1" applyBorder="1"/>
    <xf numFmtId="0" fontId="2" fillId="0" borderId="6" xfId="0" applyFont="1" applyBorder="1"/>
    <xf numFmtId="43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43" fontId="2" fillId="4" borderId="6" xfId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43" fontId="2" fillId="4" borderId="9" xfId="1" applyFont="1" applyFill="1" applyBorder="1" applyAlignment="1">
      <alignment horizontal="center"/>
    </xf>
    <xf numFmtId="43" fontId="2" fillId="7" borderId="10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43" fontId="2" fillId="6" borderId="13" xfId="0" applyNumberFormat="1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43" fontId="2" fillId="9" borderId="13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43" fontId="2" fillId="8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3" fontId="0" fillId="0" borderId="12" xfId="1" applyFont="1" applyBorder="1"/>
    <xf numFmtId="43" fontId="0" fillId="0" borderId="14" xfId="1" applyFont="1" applyBorder="1"/>
    <xf numFmtId="43" fontId="0" fillId="0" borderId="13" xfId="1" applyFont="1" applyBorder="1"/>
    <xf numFmtId="0" fontId="0" fillId="0" borderId="13" xfId="0" applyBorder="1"/>
    <xf numFmtId="43" fontId="2" fillId="10" borderId="12" xfId="1" applyFont="1" applyFill="1" applyBorder="1" applyAlignment="1">
      <alignment horizontal="center"/>
    </xf>
    <xf numFmtId="43" fontId="2" fillId="10" borderId="13" xfId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43" fontId="0" fillId="5" borderId="11" xfId="1" applyFont="1" applyFill="1" applyBorder="1" applyAlignment="1">
      <alignment horizontal="center"/>
    </xf>
    <xf numFmtId="0" fontId="0" fillId="0" borderId="6" xfId="0" applyBorder="1"/>
    <xf numFmtId="43" fontId="0" fillId="0" borderId="8" xfId="1" applyFont="1" applyBorder="1"/>
    <xf numFmtId="0" fontId="0" fillId="0" borderId="5" xfId="0" applyBorder="1"/>
    <xf numFmtId="43" fontId="0" fillId="0" borderId="15" xfId="1" applyFont="1" applyBorder="1"/>
    <xf numFmtId="43" fontId="0" fillId="0" borderId="11" xfId="1" applyFont="1" applyBorder="1"/>
    <xf numFmtId="43" fontId="2" fillId="0" borderId="12" xfId="1" applyFont="1" applyBorder="1"/>
    <xf numFmtId="43" fontId="2" fillId="0" borderId="14" xfId="1" applyFont="1" applyBorder="1"/>
    <xf numFmtId="43" fontId="2" fillId="0" borderId="13" xfId="1" applyFont="1" applyBorder="1"/>
    <xf numFmtId="0" fontId="3" fillId="0" borderId="0" xfId="0" applyFont="1" applyAlignment="1">
      <alignment horizontal="center"/>
    </xf>
    <xf numFmtId="164" fontId="0" fillId="0" borderId="0" xfId="0" applyNumberFormat="1"/>
    <xf numFmtId="0" fontId="2" fillId="5" borderId="12" xfId="0" applyFont="1" applyFill="1" applyBorder="1" applyAlignment="1">
      <alignment horizontal="center"/>
    </xf>
    <xf numFmtId="43" fontId="2" fillId="5" borderId="13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43" fontId="2" fillId="12" borderId="13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7" fillId="2" borderId="0" xfId="1" applyFont="1" applyFill="1"/>
    <xf numFmtId="0" fontId="0" fillId="0" borderId="0" xfId="0" quotePrefix="1"/>
    <xf numFmtId="0" fontId="0" fillId="0" borderId="9" xfId="0" applyBorder="1"/>
    <xf numFmtId="43" fontId="0" fillId="0" borderId="0" xfId="1" applyFont="1" applyAlignment="1">
      <alignment horizontal="left"/>
    </xf>
    <xf numFmtId="0" fontId="2" fillId="2" borderId="0" xfId="0" applyFont="1" applyFill="1"/>
    <xf numFmtId="0" fontId="0" fillId="5" borderId="0" xfId="0" applyFill="1"/>
    <xf numFmtId="43" fontId="2" fillId="0" borderId="3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Alignment="1">
      <alignment horizontal="center"/>
    </xf>
    <xf numFmtId="165" fontId="0" fillId="0" borderId="6" xfId="1" applyNumberFormat="1" applyFont="1" applyBorder="1"/>
    <xf numFmtId="165" fontId="0" fillId="0" borderId="12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5" xfId="1" applyNumberFormat="1" applyFont="1" applyBorder="1"/>
    <xf numFmtId="165" fontId="0" fillId="0" borderId="14" xfId="1" applyNumberFormat="1" applyFont="1" applyBorder="1"/>
    <xf numFmtId="165" fontId="0" fillId="0" borderId="0" xfId="1" applyNumberFormat="1" applyFont="1"/>
    <xf numFmtId="165" fontId="0" fillId="0" borderId="15" xfId="1" applyNumberFormat="1" applyFont="1" applyBorder="1"/>
    <xf numFmtId="165" fontId="0" fillId="0" borderId="0" xfId="1" applyNumberFormat="1" applyFont="1" applyBorder="1"/>
    <xf numFmtId="165" fontId="0" fillId="0" borderId="9" xfId="1" applyNumberFormat="1" applyFont="1" applyBorder="1"/>
    <xf numFmtId="165" fontId="0" fillId="0" borderId="13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43" fontId="2" fillId="5" borderId="6" xfId="1" applyFont="1" applyFill="1" applyBorder="1" applyAlignment="1">
      <alignment horizontal="center"/>
    </xf>
    <xf numFmtId="43" fontId="2" fillId="5" borderId="8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3" fontId="6" fillId="0" borderId="0" xfId="1" applyFont="1"/>
    <xf numFmtId="43" fontId="3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816EF0"/>
      <color rgb="FFD60093"/>
      <color rgb="FF99FF66"/>
      <color rgb="FFF06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2"/>
  <sheetViews>
    <sheetView tabSelected="1" workbookViewId="0">
      <selection activeCell="J19" sqref="J19"/>
    </sheetView>
  </sheetViews>
  <sheetFormatPr defaultRowHeight="14.3" x14ac:dyDescent="0.25"/>
  <cols>
    <col min="1" max="1" width="4" bestFit="1" customWidth="1"/>
    <col min="2" max="2" width="26.125" bestFit="1" customWidth="1"/>
    <col min="3" max="3" width="7" style="12" bestFit="1" customWidth="1"/>
    <col min="4" max="4" width="8.375" style="12" bestFit="1" customWidth="1"/>
    <col min="5" max="5" width="19.375" style="12" bestFit="1" customWidth="1"/>
    <col min="6" max="6" width="15.625" style="4" bestFit="1" customWidth="1"/>
    <col min="7" max="7" width="11.75" bestFit="1" customWidth="1"/>
    <col min="8" max="8" width="12.5" bestFit="1" customWidth="1"/>
    <col min="9" max="9" width="10.75" bestFit="1" customWidth="1"/>
    <col min="10" max="10" width="13.625" customWidth="1"/>
    <col min="11" max="11" width="14.375" bestFit="1" customWidth="1"/>
    <col min="12" max="12" width="13.125" bestFit="1" customWidth="1"/>
    <col min="13" max="13" width="11.875" customWidth="1"/>
    <col min="14" max="14" width="2.875" customWidth="1"/>
    <col min="15" max="15" width="9.125" style="6"/>
    <col min="16" max="16" width="2.75" customWidth="1"/>
    <col min="17" max="17" width="6.75" bestFit="1" customWidth="1"/>
    <col min="18" max="18" width="7" style="4" bestFit="1" customWidth="1"/>
    <col min="19" max="19" width="2.75" customWidth="1"/>
    <col min="20" max="20" width="11.75" style="4" bestFit="1" customWidth="1"/>
    <col min="21" max="21" width="25.25" bestFit="1" customWidth="1"/>
  </cols>
  <sheetData>
    <row r="1" spans="1:21" x14ac:dyDescent="0.25">
      <c r="B1" s="77" t="s">
        <v>188</v>
      </c>
      <c r="C1" s="7"/>
      <c r="D1" s="7"/>
      <c r="E1" s="7"/>
      <c r="F1" s="37" t="s">
        <v>67</v>
      </c>
      <c r="G1" s="41" t="s">
        <v>100</v>
      </c>
      <c r="H1" s="38" t="s">
        <v>115</v>
      </c>
      <c r="I1" s="43" t="s">
        <v>116</v>
      </c>
      <c r="J1" s="45" t="s">
        <v>117</v>
      </c>
      <c r="K1" s="67" t="s">
        <v>118</v>
      </c>
      <c r="L1" s="69" t="s">
        <v>119</v>
      </c>
      <c r="M1" s="47" t="s">
        <v>19</v>
      </c>
      <c r="O1" s="53" t="s">
        <v>20</v>
      </c>
      <c r="Q1" s="95" t="s">
        <v>59</v>
      </c>
      <c r="R1" s="96"/>
      <c r="T1" s="53" t="s">
        <v>20</v>
      </c>
    </row>
    <row r="2" spans="1:21" x14ac:dyDescent="0.25">
      <c r="B2" s="17" t="s">
        <v>42</v>
      </c>
      <c r="C2" s="7"/>
      <c r="D2" s="7"/>
      <c r="E2" s="7"/>
      <c r="F2" s="39">
        <f>+'Nora Sciplino'!O60</f>
        <v>2204.4000000000015</v>
      </c>
      <c r="G2" s="42">
        <f>+Castellotti!O67</f>
        <v>2656.9125000000017</v>
      </c>
      <c r="H2" s="40">
        <f>+Solidarietà!O67</f>
        <v>0</v>
      </c>
      <c r="I2" s="44"/>
      <c r="J2" s="46"/>
      <c r="K2" s="68"/>
      <c r="L2" s="70"/>
      <c r="M2" s="48"/>
      <c r="O2" s="54" t="s">
        <v>58</v>
      </c>
      <c r="Q2" s="55" t="s">
        <v>60</v>
      </c>
      <c r="R2" s="56" t="s">
        <v>38</v>
      </c>
      <c r="T2" s="54" t="s">
        <v>62</v>
      </c>
    </row>
    <row r="3" spans="1:21" s="2" customFormat="1" x14ac:dyDescent="0.25">
      <c r="A3"/>
      <c r="B3" s="17" t="s">
        <v>42</v>
      </c>
      <c r="C3" s="7" t="s">
        <v>35</v>
      </c>
      <c r="D3" s="7" t="s">
        <v>298</v>
      </c>
      <c r="E3" s="7" t="s">
        <v>185</v>
      </c>
      <c r="F3" s="6">
        <f>SUM(F5:F115)</f>
        <v>2204.400000000001</v>
      </c>
      <c r="G3" s="6">
        <f t="shared" ref="G3:M3" si="0">SUM(G5:G115)</f>
        <v>2656.9125000000017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O3" s="6"/>
      <c r="R3" s="4"/>
      <c r="T3" s="73" t="s">
        <v>121</v>
      </c>
    </row>
    <row r="4" spans="1:21" x14ac:dyDescent="0.25">
      <c r="F4" s="10">
        <f t="shared" ref="F4:G4" si="1">+F2-F3</f>
        <v>0</v>
      </c>
      <c r="G4" s="10">
        <f t="shared" si="1"/>
        <v>0</v>
      </c>
      <c r="H4" s="10">
        <f>+H2-H3</f>
        <v>0</v>
      </c>
      <c r="I4" s="10">
        <f t="shared" ref="I4:M4" si="2">+I2-I3</f>
        <v>0</v>
      </c>
      <c r="J4" s="10">
        <f t="shared" si="2"/>
        <v>0</v>
      </c>
      <c r="K4" s="10">
        <f t="shared" si="2"/>
        <v>0</v>
      </c>
      <c r="L4" s="10">
        <f t="shared" si="2"/>
        <v>0</v>
      </c>
      <c r="M4" s="10">
        <f t="shared" si="2"/>
        <v>0</v>
      </c>
      <c r="O4" s="6" t="s">
        <v>7</v>
      </c>
    </row>
    <row r="5" spans="1:21" s="2" customFormat="1" x14ac:dyDescent="0.25">
      <c r="A5">
        <v>1</v>
      </c>
      <c r="B5" s="8" t="s">
        <v>21</v>
      </c>
      <c r="C5" s="12" t="str">
        <f>IFERROR(VLOOKUP(B5,concorrenti!A:C,3,0)," ")</f>
        <v>A</v>
      </c>
      <c r="D5" s="12">
        <f>VLOOKUP(B5,concorrenti!A:E,5,0)</f>
        <v>0</v>
      </c>
      <c r="E5" s="12" t="str">
        <f>VLOOKUP(B5,concorrenti!A$1:G$301,2,0)</f>
        <v>CAVEM</v>
      </c>
      <c r="F5" s="49">
        <f>IFERROR(VLOOKUP(B5,'Nora Sciplino'!A$12:O$58,15,0),0)</f>
        <v>137.77500000000001</v>
      </c>
      <c r="G5" s="49">
        <f>IFERROR(VLOOKUP(B5,Castellotti!A$12:O$66,15,0),0)</f>
        <v>119.12999999999998</v>
      </c>
      <c r="H5" s="58">
        <f>IFERROR(VLOOKUP(B5,Solidarietà!A:O,14,0),0)</f>
        <v>0</v>
      </c>
      <c r="I5" s="49">
        <v>0</v>
      </c>
      <c r="J5" s="49">
        <v>0</v>
      </c>
      <c r="K5" s="49"/>
      <c r="L5" s="49"/>
      <c r="M5" s="49">
        <v>0</v>
      </c>
      <c r="N5" s="4"/>
      <c r="O5" s="62">
        <f>SUM(F5:N5)</f>
        <v>256.90499999999997</v>
      </c>
      <c r="Q5" s="57">
        <v>2</v>
      </c>
      <c r="R5" s="58">
        <f>VLOOKUP(Q5,Regolamento!G$6:I$14,3,0)</f>
        <v>1.05</v>
      </c>
      <c r="T5" s="62">
        <f>+R5*O5</f>
        <v>269.75024999999999</v>
      </c>
      <c r="U5" s="2" t="s">
        <v>7</v>
      </c>
    </row>
    <row r="6" spans="1:21" s="2" customFormat="1" x14ac:dyDescent="0.25">
      <c r="A6">
        <v>2</v>
      </c>
      <c r="B6" s="8" t="s">
        <v>12</v>
      </c>
      <c r="C6" s="12" t="str">
        <f>IFERROR(VLOOKUP(B6,concorrenti!A:C,3,0)," ")</f>
        <v>A</v>
      </c>
      <c r="D6" s="12">
        <f>VLOOKUP(B6,concorrenti!A:E,5,0)</f>
        <v>0</v>
      </c>
      <c r="E6" s="12" t="str">
        <f>VLOOKUP(B6,concorrenti!A$1:G$301,2,0)</f>
        <v>VAMS</v>
      </c>
      <c r="F6" s="50">
        <f>IFERROR(VLOOKUP(B6,'Nora Sciplino'!A$12:O$58,15,0),0)</f>
        <v>93.686999999999983</v>
      </c>
      <c r="G6" s="80">
        <f>IFERROR(VLOOKUP(B6,Castellotti!A$12:O$66,15,0),0)</f>
        <v>112.85999999999999</v>
      </c>
      <c r="H6" s="50">
        <f>IFERROR(VLOOKUP(B6,Solidarietà!A:O,14,0),0)</f>
        <v>0</v>
      </c>
      <c r="I6" s="50">
        <v>0</v>
      </c>
      <c r="J6" s="50">
        <v>0</v>
      </c>
      <c r="K6" s="50"/>
      <c r="L6" s="50"/>
      <c r="M6" s="50">
        <v>0</v>
      </c>
      <c r="N6" s="4"/>
      <c r="O6" s="63">
        <f>SUM(F6:N6)</f>
        <v>206.54699999999997</v>
      </c>
      <c r="P6"/>
      <c r="Q6" s="59">
        <v>2</v>
      </c>
      <c r="R6" s="60">
        <f>VLOOKUP(Q6,Regolamento!G$6:I$14,3,0)</f>
        <v>1.05</v>
      </c>
      <c r="S6"/>
      <c r="T6" s="63">
        <f>+R6*O6</f>
        <v>216.87434999999996</v>
      </c>
    </row>
    <row r="7" spans="1:21" x14ac:dyDescent="0.25">
      <c r="A7">
        <v>3</v>
      </c>
      <c r="B7" s="8" t="s">
        <v>69</v>
      </c>
      <c r="C7" s="12" t="str">
        <f>IFERROR(VLOOKUP(B7,concorrenti!A:C,3,0)," ")</f>
        <v>A</v>
      </c>
      <c r="D7" s="12">
        <f>VLOOKUP(B7,concorrenti!A:E,5,0)</f>
        <v>0</v>
      </c>
      <c r="E7" s="12" t="str">
        <f>VLOOKUP(B7,concorrenti!A$1:G$301,2,0)</f>
        <v>CASTELLOTTI</v>
      </c>
      <c r="F7" s="50">
        <f>IFERROR(VLOOKUP(B7,'Nora Sciplino'!A$12:O$58,15,0),0)</f>
        <v>99.197999999999993</v>
      </c>
      <c r="G7" s="80">
        <f>IFERROR(VLOOKUP(B7,Castellotti!A$12:O$66,15,0),0)</f>
        <v>94.05</v>
      </c>
      <c r="H7" s="50">
        <f>IFERROR(VLOOKUP(B7,Solidarietà!A:O,14,0),0)</f>
        <v>0</v>
      </c>
      <c r="I7" s="50">
        <v>0</v>
      </c>
      <c r="J7" s="50">
        <v>0</v>
      </c>
      <c r="K7" s="50"/>
      <c r="L7" s="50"/>
      <c r="M7" s="50">
        <v>0</v>
      </c>
      <c r="N7" s="4"/>
      <c r="O7" s="63">
        <f>SUM(F7:N7)</f>
        <v>193.24799999999999</v>
      </c>
      <c r="Q7" s="59">
        <v>2</v>
      </c>
      <c r="R7" s="60">
        <f>VLOOKUP(Q7,Regolamento!G$6:I$14,3,0)</f>
        <v>1.05</v>
      </c>
      <c r="T7" s="63">
        <f>+R7*O7</f>
        <v>202.91040000000001</v>
      </c>
      <c r="U7" s="2"/>
    </row>
    <row r="8" spans="1:21" x14ac:dyDescent="0.25">
      <c r="A8">
        <v>4</v>
      </c>
      <c r="B8" s="8" t="s">
        <v>70</v>
      </c>
      <c r="C8" s="12" t="str">
        <f>IFERROR(VLOOKUP(B8,concorrenti!A:C,3,0)," ")</f>
        <v>A</v>
      </c>
      <c r="D8" s="12">
        <f>VLOOKUP(B8,concorrenti!A:E,5,0)</f>
        <v>0</v>
      </c>
      <c r="E8" s="12" t="str">
        <f>VLOOKUP(B8,concorrenti!A$1:G$301,2,0)</f>
        <v>CAVEM</v>
      </c>
      <c r="F8" s="50">
        <f>IFERROR(VLOOKUP(B8,'Nora Sciplino'!A$12:O$58,15,0),0)</f>
        <v>82.664999999999992</v>
      </c>
      <c r="G8" s="80">
        <f>IFERROR(VLOOKUP(B8,Castellotti!A$12:O$66,15,0),0)</f>
        <v>109.72499999999999</v>
      </c>
      <c r="H8" s="50">
        <f>IFERROR(VLOOKUP(B8,Solidarietà!A:O,14,0),0)</f>
        <v>0</v>
      </c>
      <c r="I8" s="50">
        <v>0</v>
      </c>
      <c r="J8" s="50">
        <v>0</v>
      </c>
      <c r="K8" s="50"/>
      <c r="L8" s="50"/>
      <c r="M8" s="50">
        <v>0</v>
      </c>
      <c r="N8" s="4"/>
      <c r="O8" s="63">
        <f>SUM(F8:N8)</f>
        <v>192.39</v>
      </c>
      <c r="P8" s="2"/>
      <c r="Q8" s="59">
        <v>2</v>
      </c>
      <c r="R8" s="60">
        <f>VLOOKUP(Q8,Regolamento!G$6:I$14,3,0)</f>
        <v>1.05</v>
      </c>
      <c r="S8" s="2"/>
      <c r="T8" s="63">
        <f>+R8*O8</f>
        <v>202.0095</v>
      </c>
      <c r="U8" s="2"/>
    </row>
    <row r="9" spans="1:21" x14ac:dyDescent="0.25">
      <c r="A9">
        <v>5</v>
      </c>
      <c r="B9" s="8" t="s">
        <v>23</v>
      </c>
      <c r="C9" s="12" t="str">
        <f>IFERROR(VLOOKUP(B9,concorrenti!A:C,3,0)," ")</f>
        <v>A</v>
      </c>
      <c r="D9" s="12">
        <f>VLOOKUP(B9,concorrenti!A:E,5,0)</f>
        <v>0</v>
      </c>
      <c r="E9" s="12" t="str">
        <f>VLOOKUP(B9,concorrenti!A$1:G$301,2,0)</f>
        <v>CASTELLOTTI</v>
      </c>
      <c r="F9" s="50">
        <f>IFERROR(VLOOKUP(B9,'Nora Sciplino'!A$12:O$58,15,0),0)</f>
        <v>90.931499999999986</v>
      </c>
      <c r="G9" s="80">
        <f>IFERROR(VLOOKUP(B9,Castellotti!A$12:O$66,15,0),0)</f>
        <v>90.914999999999992</v>
      </c>
      <c r="H9" s="50">
        <f>IFERROR(VLOOKUP(B9,Solidarietà!A:O,14,0),0)</f>
        <v>0</v>
      </c>
      <c r="I9" s="50">
        <v>0</v>
      </c>
      <c r="J9" s="50">
        <v>0</v>
      </c>
      <c r="K9" s="50"/>
      <c r="L9" s="50"/>
      <c r="M9" s="50">
        <v>0</v>
      </c>
      <c r="N9" s="4"/>
      <c r="O9" s="63">
        <f>SUM(F9:N9)</f>
        <v>181.84649999999999</v>
      </c>
      <c r="Q9" s="59">
        <v>2</v>
      </c>
      <c r="R9" s="60">
        <f>VLOOKUP(Q9,Regolamento!G$6:I$14,3,0)</f>
        <v>1.05</v>
      </c>
      <c r="T9" s="63">
        <f>+R9*O9</f>
        <v>190.93882500000001</v>
      </c>
      <c r="U9" s="2"/>
    </row>
    <row r="10" spans="1:21" x14ac:dyDescent="0.25">
      <c r="A10">
        <v>6</v>
      </c>
      <c r="B10" s="8" t="s">
        <v>17</v>
      </c>
      <c r="C10" s="12" t="str">
        <f>IFERROR(VLOOKUP(B10,concorrenti!A:C,3,0)," ")</f>
        <v>A</v>
      </c>
      <c r="D10" s="12">
        <f>VLOOKUP(B10,concorrenti!A:E,5,0)</f>
        <v>0</v>
      </c>
      <c r="E10" s="12" t="str">
        <f>VLOOKUP(B10,concorrenti!A$1:G$301,2,0)</f>
        <v>VAMS</v>
      </c>
      <c r="F10" s="50">
        <f>IFERROR(VLOOKUP(B10,'Nora Sciplino'!A$12:O$58,15,0),0)</f>
        <v>85.42049999999999</v>
      </c>
      <c r="G10" s="80">
        <f>IFERROR(VLOOKUP(B10,Castellotti!A$12:O$66,15,0),0)</f>
        <v>87.779999999999987</v>
      </c>
      <c r="H10" s="50">
        <f>IFERROR(VLOOKUP(B10,Solidarietà!A:O,14,0),0)</f>
        <v>0</v>
      </c>
      <c r="I10" s="50">
        <v>0</v>
      </c>
      <c r="J10" s="50">
        <v>0</v>
      </c>
      <c r="K10" s="50"/>
      <c r="L10" s="50"/>
      <c r="M10" s="50">
        <v>0</v>
      </c>
      <c r="O10" s="63">
        <f>SUM(F10:N10)</f>
        <v>173.20049999999998</v>
      </c>
      <c r="Q10" s="59">
        <v>2</v>
      </c>
      <c r="R10" s="60">
        <f>VLOOKUP(Q10,Regolamento!G$6:I$14,3,0)</f>
        <v>1.05</v>
      </c>
      <c r="T10" s="63">
        <f>+R10*O10</f>
        <v>181.860525</v>
      </c>
      <c r="U10" s="2"/>
    </row>
    <row r="11" spans="1:21" x14ac:dyDescent="0.25">
      <c r="A11">
        <v>7</v>
      </c>
      <c r="B11" s="8" t="s">
        <v>76</v>
      </c>
      <c r="C11" s="12" t="str">
        <f>IFERROR(VLOOKUP(B11,concorrenti!A:C,3,0)," ")</f>
        <v>A</v>
      </c>
      <c r="D11" s="12">
        <f>VLOOKUP(B11,concorrenti!A:E,5,0)</f>
        <v>0</v>
      </c>
      <c r="E11" s="12" t="str">
        <f>VLOOKUP(B11,concorrenti!A$1:G$301,2,0)</f>
        <v>CASTELLOTTI</v>
      </c>
      <c r="F11" s="50">
        <f>IFERROR(VLOOKUP(B11,'Nora Sciplino'!A$12:O$58,15,0),0)</f>
        <v>66.131999999999991</v>
      </c>
      <c r="G11" s="80">
        <f>IFERROR(VLOOKUP(B11,Castellotti!A$12:O$66,15,0),0)</f>
        <v>100.32</v>
      </c>
      <c r="H11" s="50">
        <f>IFERROR(VLOOKUP(B11,Solidarietà!A:O,14,0),0)</f>
        <v>0</v>
      </c>
      <c r="I11" s="50">
        <v>0</v>
      </c>
      <c r="J11" s="50">
        <v>0</v>
      </c>
      <c r="K11" s="50"/>
      <c r="L11" s="50"/>
      <c r="M11" s="50">
        <v>0</v>
      </c>
      <c r="N11" s="4"/>
      <c r="O11" s="63">
        <f>SUM(F11:N11)</f>
        <v>166.452</v>
      </c>
      <c r="Q11" s="59">
        <v>2</v>
      </c>
      <c r="R11" s="60">
        <f>VLOOKUP(Q11,Regolamento!G$6:I$14,3,0)</f>
        <v>1.05</v>
      </c>
      <c r="T11" s="63">
        <f>+R11*O11</f>
        <v>174.77459999999999</v>
      </c>
      <c r="U11" s="2"/>
    </row>
    <row r="12" spans="1:21" x14ac:dyDescent="0.25">
      <c r="A12">
        <v>8</v>
      </c>
      <c r="B12" s="8" t="s">
        <v>74</v>
      </c>
      <c r="C12" s="12" t="str">
        <f>IFERROR(VLOOKUP(B12,concorrenti!A:C,3,0)," ")</f>
        <v>A</v>
      </c>
      <c r="D12" s="12">
        <f>VLOOKUP(B12,concorrenti!A:E,5,0)</f>
        <v>0</v>
      </c>
      <c r="E12" s="12" t="str">
        <f>VLOOKUP(B12,concorrenti!A$1:G$301,2,0)</f>
        <v>CASTELLOTTI</v>
      </c>
      <c r="F12" s="50">
        <f>IFERROR(VLOOKUP(B12,'Nora Sciplino'!A$12:O$58,15,0),0)</f>
        <v>74.398499999999999</v>
      </c>
      <c r="G12" s="80">
        <f>IFERROR(VLOOKUP(B12,Castellotti!A$12:O$66,15,0),0)</f>
        <v>81.509999999999991</v>
      </c>
      <c r="H12" s="50">
        <f>IFERROR(VLOOKUP(B12,Solidarietà!A:O,14,0),0)</f>
        <v>0</v>
      </c>
      <c r="I12" s="50">
        <v>0</v>
      </c>
      <c r="J12" s="50">
        <v>0</v>
      </c>
      <c r="K12" s="50"/>
      <c r="L12" s="50"/>
      <c r="M12" s="50">
        <v>0</v>
      </c>
      <c r="N12" s="4"/>
      <c r="O12" s="63">
        <f>SUM(F12:N12)</f>
        <v>155.9085</v>
      </c>
      <c r="Q12" s="59">
        <v>2</v>
      </c>
      <c r="R12" s="60">
        <f>VLOOKUP(Q12,Regolamento!G$6:I$14,3,0)</f>
        <v>1.05</v>
      </c>
      <c r="T12" s="63">
        <f>+R12*O12</f>
        <v>163.703925</v>
      </c>
      <c r="U12" s="2"/>
    </row>
    <row r="13" spans="1:21" x14ac:dyDescent="0.25">
      <c r="A13">
        <v>9</v>
      </c>
      <c r="B13" t="s">
        <v>223</v>
      </c>
      <c r="C13" s="12" t="str">
        <f>IFERROR(VLOOKUP(B13,concorrenti!A:C,3,0)," ")</f>
        <v>A</v>
      </c>
      <c r="D13" s="12">
        <f>VLOOKUP(B13,concorrenti!A:E,5,0)</f>
        <v>0</v>
      </c>
      <c r="E13" s="12" t="str">
        <f>VLOOKUP(B13,concorrenti!A$1:G$301,2,0)</f>
        <v>VCC COMO</v>
      </c>
      <c r="F13" s="50">
        <f>IFERROR(VLOOKUP(B13,'Nora Sciplino'!A$12:O$58,15,0),0)</f>
        <v>0</v>
      </c>
      <c r="G13" s="80">
        <f>IFERROR(VLOOKUP(B13,Castellotti!A$12:O$66,15,0),0)</f>
        <v>156.75</v>
      </c>
      <c r="H13" s="50">
        <f>IFERROR(VLOOKUP(B13,Solidarietà!A:O,14,0),0)</f>
        <v>0</v>
      </c>
      <c r="I13" s="50">
        <v>0</v>
      </c>
      <c r="J13" s="50">
        <v>0</v>
      </c>
      <c r="K13" s="50"/>
      <c r="L13" s="50"/>
      <c r="M13" s="50">
        <v>0</v>
      </c>
      <c r="O13" s="63">
        <f>SUM(F13:N13)</f>
        <v>156.75</v>
      </c>
      <c r="Q13" s="59">
        <v>1</v>
      </c>
      <c r="R13" s="60">
        <f>VLOOKUP(Q13,Regolamento!G$6:I$14,3,0)</f>
        <v>1</v>
      </c>
      <c r="T13" s="63">
        <f>+R13*O13</f>
        <v>156.75</v>
      </c>
      <c r="U13" s="2"/>
    </row>
    <row r="14" spans="1:21" x14ac:dyDescent="0.25">
      <c r="A14">
        <v>10</v>
      </c>
      <c r="B14" t="s">
        <v>191</v>
      </c>
      <c r="C14" s="12" t="str">
        <f>IFERROR(VLOOKUP(B14,concorrenti!A:C,3,0)," ")</f>
        <v>A</v>
      </c>
      <c r="D14" s="12" t="str">
        <f>VLOOKUP(B14,concorrenti!A:E,5,0)</f>
        <v>X</v>
      </c>
      <c r="E14" s="12" t="str">
        <f>VLOOKUP(B14,concorrenti!A$1:G$301,2,0)</f>
        <v>CASTELLOTTI</v>
      </c>
      <c r="F14" s="50">
        <f>IFERROR(VLOOKUP(B14,'Nora Sciplino'!A$12:O$58,15,0),0)</f>
        <v>0</v>
      </c>
      <c r="G14" s="80">
        <f>IFERROR(VLOOKUP(B14,Castellotti!A$12:O$66,15,0),0)</f>
        <v>141.07499999999999</v>
      </c>
      <c r="H14" s="50">
        <f>IFERROR(VLOOKUP(B14,Solidarietà!A:O,14,0),0)</f>
        <v>0</v>
      </c>
      <c r="I14" s="50">
        <v>0</v>
      </c>
      <c r="J14" s="50">
        <v>0</v>
      </c>
      <c r="K14" s="50"/>
      <c r="L14" s="50"/>
      <c r="M14" s="50">
        <v>0</v>
      </c>
      <c r="N14" s="4"/>
      <c r="O14" s="63">
        <f>SUM(F14:N14)</f>
        <v>141.07499999999999</v>
      </c>
      <c r="Q14" s="59">
        <v>1</v>
      </c>
      <c r="R14" s="60">
        <f>VLOOKUP(Q14,Regolamento!G$6:I$14,3,0)</f>
        <v>1</v>
      </c>
      <c r="T14" s="63">
        <f>+R14*O14</f>
        <v>141.07499999999999</v>
      </c>
      <c r="U14" s="2"/>
    </row>
    <row r="15" spans="1:21" x14ac:dyDescent="0.25">
      <c r="A15">
        <v>11</v>
      </c>
      <c r="B15" s="8" t="s">
        <v>75</v>
      </c>
      <c r="C15" s="12" t="str">
        <f>IFERROR(VLOOKUP(B15,concorrenti!A:C,3,0)," ")</f>
        <v>B</v>
      </c>
      <c r="D15" s="12">
        <f>VLOOKUP(B15,concorrenti!A:E,5,0)</f>
        <v>0</v>
      </c>
      <c r="E15" s="12" t="str">
        <f>VLOOKUP(B15,concorrenti!A$1:G$301,2,0)</f>
        <v>VAMS</v>
      </c>
      <c r="F15" s="50">
        <f>IFERROR(VLOOKUP(B15,'Nora Sciplino'!A$12:O$58,15,0),0)</f>
        <v>68.887500000000003</v>
      </c>
      <c r="G15" s="80">
        <f>IFERROR(VLOOKUP(B15,Castellotti!A$12:O$66,15,0),0)</f>
        <v>62.699999999999996</v>
      </c>
      <c r="H15" s="50">
        <f>IFERROR(VLOOKUP(B15,Solidarietà!A:O,14,0),0)</f>
        <v>0</v>
      </c>
      <c r="I15" s="50">
        <v>0</v>
      </c>
      <c r="J15" s="50">
        <v>0</v>
      </c>
      <c r="K15" s="50"/>
      <c r="L15" s="50"/>
      <c r="M15" s="50">
        <v>0</v>
      </c>
      <c r="N15" s="4"/>
      <c r="O15" s="63">
        <f>SUM(F15:N15)</f>
        <v>131.58750000000001</v>
      </c>
      <c r="Q15" s="59">
        <v>2</v>
      </c>
      <c r="R15" s="60">
        <f>VLOOKUP(Q15,Regolamento!G$6:I$14,3,0)</f>
        <v>1.05</v>
      </c>
      <c r="T15" s="63">
        <f>+R15*O15</f>
        <v>138.166875</v>
      </c>
      <c r="U15" s="2"/>
    </row>
    <row r="16" spans="1:21" x14ac:dyDescent="0.25">
      <c r="A16">
        <v>12</v>
      </c>
      <c r="B16" t="s">
        <v>218</v>
      </c>
      <c r="C16" s="12" t="str">
        <f>IFERROR(VLOOKUP(B16,concorrenti!A:C,3,0)," ")</f>
        <v>A</v>
      </c>
      <c r="D16" s="12" t="str">
        <f>VLOOKUP(B16,concorrenti!A:E,5,0)</f>
        <v>X</v>
      </c>
      <c r="E16" s="12" t="str">
        <f>VLOOKUP(B16,concorrenti!A$1:G$301,2,0)</f>
        <v>OROBICO</v>
      </c>
      <c r="F16" s="50">
        <f>IFERROR(VLOOKUP(B16,'Nora Sciplino'!A$12:O$58,15,0),0)</f>
        <v>0</v>
      </c>
      <c r="G16" s="80">
        <f>IFERROR(VLOOKUP(B16,Castellotti!A$12:O$66,15,0),0)</f>
        <v>128.53499999999997</v>
      </c>
      <c r="H16" s="50">
        <f>IFERROR(VLOOKUP(B16,Solidarietà!A:O,14,0),0)</f>
        <v>0</v>
      </c>
      <c r="I16" s="50">
        <v>0</v>
      </c>
      <c r="J16" s="50">
        <v>0</v>
      </c>
      <c r="K16" s="50"/>
      <c r="L16" s="50"/>
      <c r="M16" s="50">
        <v>0</v>
      </c>
      <c r="N16" s="4"/>
      <c r="O16" s="63">
        <f>SUM(F16:N16)</f>
        <v>128.53499999999997</v>
      </c>
      <c r="Q16" s="59">
        <v>1</v>
      </c>
      <c r="R16" s="60">
        <f>VLOOKUP(Q16,Regolamento!G$6:I$14,3,0)</f>
        <v>1</v>
      </c>
      <c r="T16" s="63">
        <f>+R16*O16</f>
        <v>128.53499999999997</v>
      </c>
      <c r="U16" s="2"/>
    </row>
    <row r="17" spans="1:21" x14ac:dyDescent="0.25">
      <c r="A17">
        <v>13</v>
      </c>
      <c r="B17" s="8" t="s">
        <v>22</v>
      </c>
      <c r="C17" s="12" t="str">
        <f>IFERROR(VLOOKUP(B17,concorrenti!A:C,3,0)," ")</f>
        <v>A</v>
      </c>
      <c r="D17" s="12">
        <f>VLOOKUP(B17,concorrenti!A:E,5,0)</f>
        <v>0</v>
      </c>
      <c r="E17" s="12" t="str">
        <f>VLOOKUP(B17,concorrenti!A$1:G$301,2,0)</f>
        <v>VAMS</v>
      </c>
      <c r="F17" s="50">
        <f>IFERROR(VLOOKUP(B17,'Nora Sciplino'!A$12:O$58,15,0),0)</f>
        <v>123.99749999999999</v>
      </c>
      <c r="G17" s="80">
        <f>IFERROR(VLOOKUP(B17,Castellotti!A$12:O$66,15,0),0)</f>
        <v>0</v>
      </c>
      <c r="H17" s="50">
        <f>IFERROR(VLOOKUP(B17,Solidarietà!A:O,14,0),0)</f>
        <v>0</v>
      </c>
      <c r="I17" s="50">
        <v>0</v>
      </c>
      <c r="J17" s="50">
        <v>0</v>
      </c>
      <c r="K17" s="50"/>
      <c r="L17" s="50"/>
      <c r="M17" s="50">
        <v>0</v>
      </c>
      <c r="O17" s="63">
        <f>SUM(F17:N17)</f>
        <v>123.99749999999999</v>
      </c>
      <c r="Q17" s="59">
        <v>1</v>
      </c>
      <c r="R17" s="60">
        <f>VLOOKUP(Q17,Regolamento!G$6:I$14,3,0)</f>
        <v>1</v>
      </c>
      <c r="T17" s="63">
        <f>+R17*O17</f>
        <v>123.99749999999999</v>
      </c>
      <c r="U17" s="2"/>
    </row>
    <row r="18" spans="1:21" x14ac:dyDescent="0.25">
      <c r="A18">
        <v>14</v>
      </c>
      <c r="B18" s="8" t="s">
        <v>27</v>
      </c>
      <c r="C18" s="12" t="str">
        <f>IFERROR(VLOOKUP(B18,concorrenti!A:C,3,0)," ")</f>
        <v>A</v>
      </c>
      <c r="D18" s="12">
        <f>VLOOKUP(B18,concorrenti!A:E,5,0)</f>
        <v>0</v>
      </c>
      <c r="E18" s="12" t="str">
        <f>VLOOKUP(B18,concorrenti!A$1:G$301,2,0)</f>
        <v>VAMS</v>
      </c>
      <c r="F18" s="50">
        <f>IFERROR(VLOOKUP(B18,'Nora Sciplino'!A$12:O$58,15,0),0)</f>
        <v>112.97549999999998</v>
      </c>
      <c r="G18" s="80">
        <f>IFERROR(VLOOKUP(B18,Castellotti!A$12:O$66,15,0),0)</f>
        <v>0</v>
      </c>
      <c r="H18" s="50">
        <f>IFERROR(VLOOKUP(B18,Solidarietà!A:O,14,0),0)</f>
        <v>0</v>
      </c>
      <c r="I18" s="50">
        <v>0</v>
      </c>
      <c r="J18" s="50">
        <v>0</v>
      </c>
      <c r="K18" s="50"/>
      <c r="L18" s="50"/>
      <c r="M18" s="50">
        <v>0</v>
      </c>
      <c r="N18" s="4"/>
      <c r="O18" s="63">
        <f>SUM(F18:N18)</f>
        <v>112.97549999999998</v>
      </c>
      <c r="Q18" s="59">
        <v>1</v>
      </c>
      <c r="R18" s="60">
        <f>VLOOKUP(Q18,Regolamento!G$6:I$14,3,0)</f>
        <v>1</v>
      </c>
      <c r="T18" s="63">
        <f>+R18*O18</f>
        <v>112.97549999999998</v>
      </c>
      <c r="U18" s="2"/>
    </row>
    <row r="19" spans="1:21" x14ac:dyDescent="0.25">
      <c r="A19">
        <v>15</v>
      </c>
      <c r="B19" t="s">
        <v>210</v>
      </c>
      <c r="C19" s="12" t="str">
        <f>IFERROR(VLOOKUP(B19,concorrenti!A:C,3,0)," ")</f>
        <v>A</v>
      </c>
      <c r="D19" s="12">
        <f>VLOOKUP(B19,concorrenti!A:E,5,0)</f>
        <v>0</v>
      </c>
      <c r="E19" s="12" t="str">
        <f>VLOOKUP(B19,concorrenti!A$1:G$301,2,0)</f>
        <v>AMAMS</v>
      </c>
      <c r="F19" s="50">
        <f>IFERROR(VLOOKUP(B19,'Nora Sciplino'!A$12:O$58,15,0),0)</f>
        <v>0</v>
      </c>
      <c r="G19" s="80">
        <f>IFERROR(VLOOKUP(B19,Castellotti!A$12:O$66,15,0),0)</f>
        <v>106.58999999999999</v>
      </c>
      <c r="H19" s="50">
        <f>IFERROR(VLOOKUP(B19,Solidarietà!A:O,14,0),0)</f>
        <v>0</v>
      </c>
      <c r="I19" s="50">
        <v>0</v>
      </c>
      <c r="J19" s="50">
        <v>0</v>
      </c>
      <c r="K19" s="50"/>
      <c r="L19" s="50"/>
      <c r="M19" s="50">
        <v>0</v>
      </c>
      <c r="N19" s="4"/>
      <c r="O19" s="63">
        <f>SUM(F19:N19)</f>
        <v>106.58999999999999</v>
      </c>
      <c r="Q19" s="59">
        <v>1</v>
      </c>
      <c r="R19" s="60">
        <f>VLOOKUP(Q19,Regolamento!G$6:I$14,3,0)</f>
        <v>1</v>
      </c>
      <c r="T19" s="63">
        <f>+R19*O19</f>
        <v>106.58999999999999</v>
      </c>
      <c r="U19" s="2"/>
    </row>
    <row r="20" spans="1:21" x14ac:dyDescent="0.25">
      <c r="A20">
        <v>16</v>
      </c>
      <c r="B20" s="9" t="s">
        <v>15</v>
      </c>
      <c r="C20" s="12" t="str">
        <f>IFERROR(VLOOKUP(B20,concorrenti!A:C,3,0)," ")</f>
        <v>A</v>
      </c>
      <c r="D20" s="12">
        <f>VLOOKUP(B20,concorrenti!A:E,5,0)</f>
        <v>0</v>
      </c>
      <c r="E20" s="12" t="str">
        <f>VLOOKUP(B20,concorrenti!A$1:G$301,2,0)</f>
        <v>OROBICO</v>
      </c>
      <c r="F20" s="50">
        <f>IFERROR(VLOOKUP(B20,'Nora Sciplino'!A$12:O$58,15,0),0)</f>
        <v>104.70899999999999</v>
      </c>
      <c r="G20" s="80">
        <f>IFERROR(VLOOKUP(B20,Castellotti!A$12:O$66,15,0),0)</f>
        <v>0</v>
      </c>
      <c r="H20" s="50">
        <f>IFERROR(VLOOKUP(B20,Solidarietà!A:O,14,0),0)</f>
        <v>0</v>
      </c>
      <c r="I20" s="50">
        <v>0</v>
      </c>
      <c r="J20" s="50">
        <v>0</v>
      </c>
      <c r="K20" s="50"/>
      <c r="L20" s="50"/>
      <c r="M20" s="50">
        <v>0</v>
      </c>
      <c r="N20" s="4"/>
      <c r="O20" s="63">
        <f>SUM(F20:N20)</f>
        <v>104.70899999999999</v>
      </c>
      <c r="Q20" s="59">
        <v>1</v>
      </c>
      <c r="R20" s="60">
        <f>VLOOKUP(Q20,Regolamento!G$6:I$14,3,0)</f>
        <v>1</v>
      </c>
      <c r="T20" s="63">
        <f>+R20*O20</f>
        <v>104.70899999999999</v>
      </c>
      <c r="U20" s="2"/>
    </row>
    <row r="21" spans="1:21" x14ac:dyDescent="0.25">
      <c r="A21">
        <v>17</v>
      </c>
      <c r="B21" t="s">
        <v>209</v>
      </c>
      <c r="C21" s="12" t="str">
        <f>IFERROR(VLOOKUP(B21,concorrenti!A:C,3,0)," ")</f>
        <v>A</v>
      </c>
      <c r="D21" s="12">
        <f>VLOOKUP(B21,concorrenti!A:E,5,0)</f>
        <v>0</v>
      </c>
      <c r="E21" s="12" t="str">
        <f>VLOOKUP(B21,concorrenti!A$1:G$301,2,0)</f>
        <v>AMAMS</v>
      </c>
      <c r="F21" s="50">
        <f>IFERROR(VLOOKUP(B21,'Nora Sciplino'!A$12:O$58,15,0),0)</f>
        <v>0</v>
      </c>
      <c r="G21" s="80">
        <f>IFERROR(VLOOKUP(B21,Castellotti!A$12:O$66,15,0),0)</f>
        <v>103.45499999999998</v>
      </c>
      <c r="H21" s="50">
        <f>IFERROR(VLOOKUP(B21,Solidarietà!A:O,14,0),0)</f>
        <v>0</v>
      </c>
      <c r="I21" s="50">
        <v>0</v>
      </c>
      <c r="J21" s="50">
        <v>0</v>
      </c>
      <c r="K21" s="50"/>
      <c r="L21" s="50"/>
      <c r="M21" s="50">
        <v>0</v>
      </c>
      <c r="N21" s="4"/>
      <c r="O21" s="63">
        <f>SUM(F21:N21)</f>
        <v>103.45499999999998</v>
      </c>
      <c r="Q21" s="59">
        <v>1</v>
      </c>
      <c r="R21" s="60">
        <f>VLOOKUP(Q21,Regolamento!G$6:I$14,3,0)</f>
        <v>1</v>
      </c>
      <c r="T21" s="63">
        <f>+R21*O21</f>
        <v>103.45499999999998</v>
      </c>
      <c r="U21" s="2"/>
    </row>
    <row r="22" spans="1:21" x14ac:dyDescent="0.25">
      <c r="A22">
        <v>18</v>
      </c>
      <c r="B22" t="s">
        <v>225</v>
      </c>
      <c r="C22" s="12" t="str">
        <f>IFERROR(VLOOKUP(B22,concorrenti!A:C,3,0)," ")</f>
        <v>A</v>
      </c>
      <c r="D22" s="12">
        <f>VLOOKUP(B22,concorrenti!A:E,5,0)</f>
        <v>0</v>
      </c>
      <c r="E22" s="12" t="str">
        <f>VLOOKUP(B22,concorrenti!A$1:G$301,2,0)</f>
        <v>VCC COMO</v>
      </c>
      <c r="F22" s="50">
        <f>IFERROR(VLOOKUP(B22,'Nora Sciplino'!A$12:O$58,15,0),0)</f>
        <v>0</v>
      </c>
      <c r="G22" s="80">
        <f>IFERROR(VLOOKUP(B22,Castellotti!A$12:O$66,15,0),0)</f>
        <v>97.184999999999988</v>
      </c>
      <c r="H22" s="50">
        <f>IFERROR(VLOOKUP(B22,Solidarietà!A:O,14,0),0)</f>
        <v>0</v>
      </c>
      <c r="I22" s="50">
        <v>0</v>
      </c>
      <c r="J22" s="50">
        <v>0</v>
      </c>
      <c r="K22" s="50"/>
      <c r="L22" s="50"/>
      <c r="M22" s="50">
        <v>0</v>
      </c>
      <c r="O22" s="63">
        <f>SUM(F22:N22)</f>
        <v>97.184999999999988</v>
      </c>
      <c r="Q22" s="59">
        <v>1</v>
      </c>
      <c r="R22" s="60">
        <f>VLOOKUP(Q22,Regolamento!G$6:I$14,3,0)</f>
        <v>1</v>
      </c>
      <c r="T22" s="63">
        <f>+R22*O22</f>
        <v>97.184999999999988</v>
      </c>
      <c r="U22" s="2"/>
    </row>
    <row r="23" spans="1:21" x14ac:dyDescent="0.25">
      <c r="A23">
        <v>19</v>
      </c>
      <c r="B23" s="8" t="s">
        <v>14</v>
      </c>
      <c r="C23" s="12" t="str">
        <f>IFERROR(VLOOKUP(B23,concorrenti!A:C,3,0)," ")</f>
        <v>A</v>
      </c>
      <c r="D23" s="12">
        <f>VLOOKUP(B23,concorrenti!A:E,5,0)</f>
        <v>0</v>
      </c>
      <c r="E23" s="12" t="str">
        <f>VLOOKUP(B23,concorrenti!A$1:G$301,2,0)</f>
        <v>VAMS</v>
      </c>
      <c r="F23" s="50">
        <f>IFERROR(VLOOKUP(B23,'Nora Sciplino'!A$12:O$58,15,0),0)</f>
        <v>96.442499999999995</v>
      </c>
      <c r="G23" s="80">
        <f>IFERROR(VLOOKUP(B23,Castellotti!A$12:O$66,15,0),0)</f>
        <v>0</v>
      </c>
      <c r="H23" s="50">
        <f>IFERROR(VLOOKUP(B23,Solidarietà!A:O,14,0),0)</f>
        <v>0</v>
      </c>
      <c r="I23" s="50">
        <v>0</v>
      </c>
      <c r="J23" s="50">
        <v>0</v>
      </c>
      <c r="K23" s="50"/>
      <c r="L23" s="50"/>
      <c r="M23" s="50">
        <v>0</v>
      </c>
      <c r="N23" s="4"/>
      <c r="O23" s="63">
        <f>SUM(F23:N23)</f>
        <v>96.442499999999995</v>
      </c>
      <c r="Q23" s="59">
        <v>1</v>
      </c>
      <c r="R23" s="60">
        <f>VLOOKUP(Q23,Regolamento!G$6:I$14,3,0)</f>
        <v>1</v>
      </c>
      <c r="T23" s="63">
        <f>+R23*O23</f>
        <v>96.442499999999995</v>
      </c>
      <c r="U23" s="2"/>
    </row>
    <row r="24" spans="1:21" x14ac:dyDescent="0.25">
      <c r="A24">
        <v>20</v>
      </c>
      <c r="B24" s="8" t="s">
        <v>82</v>
      </c>
      <c r="C24" s="12" t="str">
        <f>IFERROR(VLOOKUP(B24,concorrenti!A:C,3,0)," ")</f>
        <v>C</v>
      </c>
      <c r="D24" s="12">
        <f>VLOOKUP(B24,concorrenti!A:E,5,0)</f>
        <v>0</v>
      </c>
      <c r="E24" s="12" t="str">
        <f>VLOOKUP(B24,concorrenti!A$1:G$301,2,0)</f>
        <v>CASTELLOTTI</v>
      </c>
      <c r="F24" s="50">
        <f>IFERROR(VLOOKUP(B24,'Nora Sciplino'!A$12:O$58,15,0),0)</f>
        <v>38.576999999999998</v>
      </c>
      <c r="G24" s="80">
        <f>IFERROR(VLOOKUP(B24,Castellotti!A$12:O$66,15,0),0)</f>
        <v>47.024999999999999</v>
      </c>
      <c r="H24" s="50">
        <f>IFERROR(VLOOKUP(B24,Solidarietà!A:O,14,0),0)</f>
        <v>0</v>
      </c>
      <c r="I24" s="50">
        <v>0</v>
      </c>
      <c r="J24" s="50">
        <v>0</v>
      </c>
      <c r="K24" s="50"/>
      <c r="L24" s="50"/>
      <c r="M24" s="50">
        <v>0</v>
      </c>
      <c r="O24" s="63">
        <f>SUM(F24:N24)</f>
        <v>85.602000000000004</v>
      </c>
      <c r="Q24" s="59">
        <v>2</v>
      </c>
      <c r="R24" s="60">
        <f>VLOOKUP(Q24,Regolamento!G$6:I$14,3,0)</f>
        <v>1.05</v>
      </c>
      <c r="T24" s="63">
        <f>+R24*O24</f>
        <v>89.882100000000008</v>
      </c>
      <c r="U24" s="2"/>
    </row>
    <row r="25" spans="1:21" x14ac:dyDescent="0.25">
      <c r="A25">
        <v>21</v>
      </c>
      <c r="B25" s="8" t="s">
        <v>72</v>
      </c>
      <c r="C25" s="12" t="str">
        <f>IFERROR(VLOOKUP(B25,concorrenti!A:C,3,0)," ")</f>
        <v>A</v>
      </c>
      <c r="D25" s="12" t="str">
        <f>VLOOKUP(B25,concorrenti!A:E,5,0)</f>
        <v>X</v>
      </c>
      <c r="E25" s="12" t="str">
        <f>VLOOKUP(B25,concorrenti!A$1:G$301,2,0)</f>
        <v>VAMS</v>
      </c>
      <c r="F25" s="50">
        <f>IFERROR(VLOOKUP(B25,'Nora Sciplino'!A$12:O$58,15,0),0)</f>
        <v>88.175999999999988</v>
      </c>
      <c r="G25" s="80">
        <f>IFERROR(VLOOKUP(B25,Castellotti!A$12:O$66,15,0),0)</f>
        <v>0</v>
      </c>
      <c r="H25" s="50">
        <f>IFERROR(VLOOKUP(B25,Solidarietà!A:O,14,0),0)</f>
        <v>0</v>
      </c>
      <c r="I25" s="50">
        <v>0</v>
      </c>
      <c r="J25" s="50">
        <v>0</v>
      </c>
      <c r="K25" s="50"/>
      <c r="L25" s="50"/>
      <c r="M25" s="50">
        <v>0</v>
      </c>
      <c r="N25" s="4"/>
      <c r="O25" s="63">
        <f>SUM(F25:N25)</f>
        <v>88.175999999999988</v>
      </c>
      <c r="Q25" s="59">
        <v>1</v>
      </c>
      <c r="R25" s="60">
        <f>VLOOKUP(Q25,Regolamento!G$6:I$14,3,0)</f>
        <v>1</v>
      </c>
      <c r="T25" s="63">
        <f>+R25*O25</f>
        <v>88.175999999999988</v>
      </c>
      <c r="U25" s="2"/>
    </row>
    <row r="26" spans="1:21" x14ac:dyDescent="0.25">
      <c r="A26">
        <v>22</v>
      </c>
      <c r="B26" t="s">
        <v>226</v>
      </c>
      <c r="C26" s="12" t="str">
        <f>IFERROR(VLOOKUP(B26,concorrenti!A:C,3,0)," ")</f>
        <v>B</v>
      </c>
      <c r="D26" s="12">
        <f>VLOOKUP(B26,concorrenti!A:E,5,0)</f>
        <v>0</v>
      </c>
      <c r="E26" s="12" t="str">
        <f>VLOOKUP(B26,concorrenti!A$1:G$301,2,0)</f>
        <v>VCC COMO</v>
      </c>
      <c r="F26" s="50">
        <f>IFERROR(VLOOKUP(B26,'Nora Sciplino'!A$12:O$58,15,0),0)</f>
        <v>0</v>
      </c>
      <c r="G26" s="80">
        <f>IFERROR(VLOOKUP(B26,Castellotti!A$12:O$66,15,0),0)</f>
        <v>84.644999999999996</v>
      </c>
      <c r="H26" s="50">
        <f>IFERROR(VLOOKUP(B26,Solidarietà!A:O,14,0),0)</f>
        <v>0</v>
      </c>
      <c r="I26" s="50">
        <v>0</v>
      </c>
      <c r="J26" s="50">
        <v>0</v>
      </c>
      <c r="K26" s="50"/>
      <c r="L26" s="50"/>
      <c r="M26" s="50">
        <v>0</v>
      </c>
      <c r="N26" s="4"/>
      <c r="O26" s="63">
        <f>SUM(F26:N26)</f>
        <v>84.644999999999996</v>
      </c>
      <c r="Q26" s="59">
        <v>1</v>
      </c>
      <c r="R26" s="60">
        <f>VLOOKUP(Q26,Regolamento!G$6:I$14,3,0)</f>
        <v>1</v>
      </c>
      <c r="T26" s="63">
        <f>+R26*O26</f>
        <v>84.644999999999996</v>
      </c>
      <c r="U26" s="2"/>
    </row>
    <row r="27" spans="1:21" x14ac:dyDescent="0.25">
      <c r="A27">
        <v>23</v>
      </c>
      <c r="B27" s="8" t="s">
        <v>29</v>
      </c>
      <c r="C27" s="12" t="str">
        <f>IFERROR(VLOOKUP(B27,concorrenti!A:C,3,0)," ")</f>
        <v>A</v>
      </c>
      <c r="D27" s="12">
        <f>VLOOKUP(B27,concorrenti!A:E,5,0)</f>
        <v>0</v>
      </c>
      <c r="E27" s="12" t="str">
        <f>VLOOKUP(B27,concorrenti!A$1:G$301,2,0)</f>
        <v>OROBICO</v>
      </c>
      <c r="F27" s="50">
        <f>IFERROR(VLOOKUP(B27,'Nora Sciplino'!A$12:O$58,15,0),0)</f>
        <v>79.909499999999994</v>
      </c>
      <c r="G27" s="80">
        <f>IFERROR(VLOOKUP(B27,Castellotti!A$12:O$66,15,0),0)</f>
        <v>0</v>
      </c>
      <c r="H27" s="50">
        <f>IFERROR(VLOOKUP(B27,Solidarietà!A:O,14,0),0)</f>
        <v>0</v>
      </c>
      <c r="I27" s="50">
        <v>0</v>
      </c>
      <c r="J27" s="50">
        <v>0</v>
      </c>
      <c r="K27" s="50"/>
      <c r="L27" s="50"/>
      <c r="M27" s="50">
        <v>0</v>
      </c>
      <c r="O27" s="63">
        <f>SUM(F27:N27)</f>
        <v>79.909499999999994</v>
      </c>
      <c r="Q27" s="59">
        <v>1</v>
      </c>
      <c r="R27" s="60">
        <f>VLOOKUP(Q27,Regolamento!G$6:I$14,3,0)</f>
        <v>1</v>
      </c>
      <c r="T27" s="63">
        <f>+R27*O27</f>
        <v>79.909499999999994</v>
      </c>
      <c r="U27" s="2"/>
    </row>
    <row r="28" spans="1:21" x14ac:dyDescent="0.25">
      <c r="A28">
        <v>24</v>
      </c>
      <c r="B28" t="s">
        <v>212</v>
      </c>
      <c r="C28" s="12" t="str">
        <f>IFERROR(VLOOKUP(B28,concorrenti!A:C,3,0)," ")</f>
        <v>B</v>
      </c>
      <c r="D28" s="12" t="str">
        <f>VLOOKUP(B28,concorrenti!A:E,5,0)</f>
        <v>X</v>
      </c>
      <c r="E28" s="12" t="str">
        <f>VLOOKUP(B28,concorrenti!A$1:G$301,2,0)</f>
        <v>CAVEM</v>
      </c>
      <c r="F28" s="50">
        <f>IFERROR(VLOOKUP(B28,'Nora Sciplino'!A$12:O$58,15,0),0)</f>
        <v>0</v>
      </c>
      <c r="G28" s="80">
        <f>IFERROR(VLOOKUP(B28,Castellotti!A$12:O$66,15,0),0)</f>
        <v>78.375</v>
      </c>
      <c r="H28" s="50">
        <f>IFERROR(VLOOKUP(B28,Solidarietà!A:O,14,0),0)</f>
        <v>0</v>
      </c>
      <c r="I28" s="50">
        <v>0</v>
      </c>
      <c r="J28" s="50">
        <v>0</v>
      </c>
      <c r="K28" s="50"/>
      <c r="L28" s="50"/>
      <c r="M28" s="50">
        <v>0</v>
      </c>
      <c r="O28" s="63">
        <f>SUM(F28:N28)</f>
        <v>78.375</v>
      </c>
      <c r="Q28" s="59">
        <v>1</v>
      </c>
      <c r="R28" s="60">
        <f>VLOOKUP(Q28,Regolamento!G$6:I$14,3,0)</f>
        <v>1</v>
      </c>
      <c r="T28" s="63">
        <f>+R28*O28</f>
        <v>78.375</v>
      </c>
      <c r="U28" s="2"/>
    </row>
    <row r="29" spans="1:21" x14ac:dyDescent="0.25">
      <c r="A29">
        <v>25</v>
      </c>
      <c r="B29" s="8" t="s">
        <v>73</v>
      </c>
      <c r="C29" s="12" t="str">
        <f>IFERROR(VLOOKUP(B29,concorrenti!A:C,3,0)," ")</f>
        <v>A</v>
      </c>
      <c r="D29" s="12">
        <f>VLOOKUP(B29,concorrenti!A:E,5,0)</f>
        <v>0</v>
      </c>
      <c r="E29" s="12" t="str">
        <f>VLOOKUP(B29,concorrenti!A$1:G$301,2,0)</f>
        <v>VAMS</v>
      </c>
      <c r="F29" s="50">
        <f>IFERROR(VLOOKUP(B29,'Nora Sciplino'!A$12:O$58,15,0),0)</f>
        <v>77.153999999999996</v>
      </c>
      <c r="G29" s="80">
        <f>IFERROR(VLOOKUP(B29,Castellotti!A$12:O$66,15,0),0)</f>
        <v>0</v>
      </c>
      <c r="H29" s="50">
        <f>IFERROR(VLOOKUP(B29,Solidarietà!A:O,14,0),0)</f>
        <v>0</v>
      </c>
      <c r="I29" s="50">
        <v>0</v>
      </c>
      <c r="J29" s="50">
        <v>0</v>
      </c>
      <c r="K29" s="50"/>
      <c r="L29" s="50"/>
      <c r="M29" s="50">
        <v>0</v>
      </c>
      <c r="N29" s="4"/>
      <c r="O29" s="63">
        <f>SUM(F29:N29)</f>
        <v>77.153999999999996</v>
      </c>
      <c r="Q29" s="59">
        <v>1</v>
      </c>
      <c r="R29" s="60">
        <f>VLOOKUP(Q29,Regolamento!G$6:I$14,3,0)</f>
        <v>1</v>
      </c>
      <c r="T29" s="63">
        <f>+R29*O29</f>
        <v>77.153999999999996</v>
      </c>
      <c r="U29" s="2"/>
    </row>
    <row r="30" spans="1:21" x14ac:dyDescent="0.25">
      <c r="A30">
        <v>26</v>
      </c>
      <c r="B30" t="s">
        <v>224</v>
      </c>
      <c r="C30" s="12" t="str">
        <f>IFERROR(VLOOKUP(B30,concorrenti!A:C,3,0)," ")</f>
        <v>B</v>
      </c>
      <c r="D30" s="12">
        <f>VLOOKUP(B30,concorrenti!A:E,5,0)</f>
        <v>0</v>
      </c>
      <c r="E30" s="12" t="str">
        <f>VLOOKUP(B30,concorrenti!A$1:G$301,2,0)</f>
        <v>VCC COMO</v>
      </c>
      <c r="F30" s="50">
        <f>IFERROR(VLOOKUP(B30,'Nora Sciplino'!A$12:O$58,15,0),0)</f>
        <v>0</v>
      </c>
      <c r="G30" s="80">
        <f>IFERROR(VLOOKUP(B30,Castellotti!A$12:O$66,15,0),0)</f>
        <v>75.239999999999981</v>
      </c>
      <c r="H30" s="50">
        <f>IFERROR(VLOOKUP(B30,Solidarietà!A:O,14,0),0)</f>
        <v>0</v>
      </c>
      <c r="I30" s="50">
        <v>0</v>
      </c>
      <c r="J30" s="50">
        <v>0</v>
      </c>
      <c r="K30" s="50"/>
      <c r="L30" s="50"/>
      <c r="M30" s="50">
        <v>0</v>
      </c>
      <c r="O30" s="63">
        <f>SUM(F30:N30)</f>
        <v>75.239999999999981</v>
      </c>
      <c r="Q30" s="59">
        <v>1</v>
      </c>
      <c r="R30" s="60">
        <f>VLOOKUP(Q30,Regolamento!G$6:I$14,3,0)</f>
        <v>1</v>
      </c>
      <c r="T30" s="63">
        <f>+R30*O30</f>
        <v>75.239999999999981</v>
      </c>
      <c r="U30" s="2"/>
    </row>
    <row r="31" spans="1:21" x14ac:dyDescent="0.25">
      <c r="A31">
        <v>27</v>
      </c>
      <c r="B31" t="s">
        <v>215</v>
      </c>
      <c r="C31" s="12" t="str">
        <f>IFERROR(VLOOKUP(B31,concorrenti!A:C,3,0)," ")</f>
        <v>B</v>
      </c>
      <c r="D31" s="12">
        <f>VLOOKUP(B31,concorrenti!A:E,5,0)</f>
        <v>0</v>
      </c>
      <c r="E31" s="12" t="str">
        <f>VLOOKUP(B31,concorrenti!A$1:G$301,2,0)</f>
        <v>CLASSIC CLUB ITALIA</v>
      </c>
      <c r="F31" s="50">
        <f>IFERROR(VLOOKUP(B31,'Nora Sciplino'!A$12:O$58,15,0),0)</f>
        <v>0</v>
      </c>
      <c r="G31" s="80">
        <f>IFERROR(VLOOKUP(B31,Castellotti!A$12:O$66,15,0),0)</f>
        <v>72.10499999999999</v>
      </c>
      <c r="H31" s="50">
        <f>IFERROR(VLOOKUP(B31,Solidarietà!A:O,14,0),0)</f>
        <v>0</v>
      </c>
      <c r="I31" s="50">
        <v>0</v>
      </c>
      <c r="J31" s="50">
        <v>0</v>
      </c>
      <c r="K31" s="50"/>
      <c r="L31" s="50"/>
      <c r="M31" s="50">
        <v>0</v>
      </c>
      <c r="N31" s="4"/>
      <c r="O31" s="63">
        <f>SUM(F31:N31)</f>
        <v>72.10499999999999</v>
      </c>
      <c r="Q31" s="59">
        <v>1</v>
      </c>
      <c r="R31" s="60">
        <f>VLOOKUP(Q31,Regolamento!G$6:I$14,3,0)</f>
        <v>1</v>
      </c>
      <c r="T31" s="63">
        <f>+R31*O31</f>
        <v>72.10499999999999</v>
      </c>
      <c r="U31" s="2"/>
    </row>
    <row r="32" spans="1:21" x14ac:dyDescent="0.25">
      <c r="A32">
        <v>28</v>
      </c>
      <c r="B32" s="8" t="s">
        <v>16</v>
      </c>
      <c r="C32" s="12" t="str">
        <f>IFERROR(VLOOKUP(B32,concorrenti!A:C,3,0)," ")</f>
        <v>B</v>
      </c>
      <c r="D32" s="12">
        <f>VLOOKUP(B32,concorrenti!A:E,5,0)</f>
        <v>0</v>
      </c>
      <c r="E32" s="12" t="str">
        <f>VLOOKUP(B32,concorrenti!A$1:G$301,2,0)</f>
        <v>OROBICO</v>
      </c>
      <c r="F32" s="50">
        <f>IFERROR(VLOOKUP(B32,'Nora Sciplino'!A$12:O$58,15,0),0)</f>
        <v>71.643000000000001</v>
      </c>
      <c r="G32" s="80">
        <f>IFERROR(VLOOKUP(B32,Castellotti!A$12:O$66,15,0),0)</f>
        <v>0</v>
      </c>
      <c r="H32" s="50">
        <f>IFERROR(VLOOKUP(B32,Solidarietà!A:O,14,0),0)</f>
        <v>0</v>
      </c>
      <c r="I32" s="50">
        <v>0</v>
      </c>
      <c r="J32" s="50">
        <v>0</v>
      </c>
      <c r="K32" s="50"/>
      <c r="L32" s="50"/>
      <c r="M32" s="50">
        <v>0</v>
      </c>
      <c r="N32" s="4"/>
      <c r="O32" s="63">
        <f>SUM(F32:N32)</f>
        <v>71.643000000000001</v>
      </c>
      <c r="Q32" s="59">
        <v>1</v>
      </c>
      <c r="R32" s="60">
        <f>VLOOKUP(Q32,Regolamento!G$6:I$14,3,0)</f>
        <v>1</v>
      </c>
      <c r="T32" s="63">
        <f>+R32*O32</f>
        <v>71.643000000000001</v>
      </c>
      <c r="U32" s="2"/>
    </row>
    <row r="33" spans="1:21" x14ac:dyDescent="0.25">
      <c r="A33">
        <v>29</v>
      </c>
      <c r="B33" s="8" t="s">
        <v>85</v>
      </c>
      <c r="C33" s="12" t="str">
        <f>IFERROR(VLOOKUP(B33,concorrenti!A:C,3,0)," ")</f>
        <v>C</v>
      </c>
      <c r="D33" s="12">
        <f>VLOOKUP(B33,concorrenti!A:E,5,0)</f>
        <v>0</v>
      </c>
      <c r="E33" s="12" t="str">
        <f>VLOOKUP(B33,concorrenti!A$1:G$301,2,0)</f>
        <v>VALTELLINA</v>
      </c>
      <c r="F33" s="50">
        <f>IFERROR(VLOOKUP(B33,'Nora Sciplino'!A$12:O$58,15,0),0)</f>
        <v>8.2664999999999988</v>
      </c>
      <c r="G33" s="80">
        <f>IFERROR(VLOOKUP(B33,Castellotti!A$12:O$66,15,0),0)</f>
        <v>59.564999999999991</v>
      </c>
      <c r="H33" s="50">
        <f>IFERROR(VLOOKUP(B33,Solidarietà!A:O,14,0),0)</f>
        <v>0</v>
      </c>
      <c r="I33" s="50">
        <v>0</v>
      </c>
      <c r="J33" s="50">
        <v>0</v>
      </c>
      <c r="K33" s="50"/>
      <c r="L33" s="50"/>
      <c r="M33" s="50">
        <v>0</v>
      </c>
      <c r="N33" s="4"/>
      <c r="O33" s="63">
        <f>SUM(F33:N33)</f>
        <v>67.831499999999991</v>
      </c>
      <c r="Q33" s="59">
        <v>2</v>
      </c>
      <c r="R33" s="60">
        <f>VLOOKUP(Q33,Regolamento!G$6:I$14,3,0)</f>
        <v>1.05</v>
      </c>
      <c r="T33" s="63">
        <f>+R33*O33</f>
        <v>71.223074999999994</v>
      </c>
      <c r="U33" s="2"/>
    </row>
    <row r="34" spans="1:21" x14ac:dyDescent="0.25">
      <c r="A34">
        <v>30</v>
      </c>
      <c r="B34" t="s">
        <v>190</v>
      </c>
      <c r="C34" s="12" t="str">
        <f>IFERROR(VLOOKUP(B34,concorrenti!A:C,3,0)," ")</f>
        <v>C</v>
      </c>
      <c r="D34" s="12">
        <f>VLOOKUP(B34,concorrenti!A:E,5,0)</f>
        <v>0</v>
      </c>
      <c r="E34" s="12" t="str">
        <f>VLOOKUP(B34,concorrenti!A$1:G$301,2,0)</f>
        <v>CASTELLOTTI</v>
      </c>
      <c r="F34" s="50">
        <f>IFERROR(VLOOKUP(B34,'Nora Sciplino'!A$12:O$58,15,0),0)</f>
        <v>0</v>
      </c>
      <c r="G34" s="80">
        <f>IFERROR(VLOOKUP(B34,Castellotti!A$12:O$66,15,0),0)</f>
        <v>68.969999999999985</v>
      </c>
      <c r="H34" s="50">
        <f>IFERROR(VLOOKUP(B34,Solidarietà!A:O,14,0),0)</f>
        <v>0</v>
      </c>
      <c r="I34" s="50">
        <v>0</v>
      </c>
      <c r="J34" s="50">
        <v>0</v>
      </c>
      <c r="K34" s="50"/>
      <c r="L34" s="50"/>
      <c r="M34" s="50">
        <v>0</v>
      </c>
      <c r="N34" s="4"/>
      <c r="O34" s="63">
        <f>SUM(F34:N34)</f>
        <v>68.969999999999985</v>
      </c>
      <c r="Q34" s="59">
        <v>1</v>
      </c>
      <c r="R34" s="60">
        <f>VLOOKUP(Q34,Regolamento!G$6:I$14,3,0)</f>
        <v>1</v>
      </c>
      <c r="T34" s="63">
        <f>+R34*O34</f>
        <v>68.969999999999985</v>
      </c>
      <c r="U34" s="2"/>
    </row>
    <row r="35" spans="1:21" x14ac:dyDescent="0.25">
      <c r="A35">
        <v>31</v>
      </c>
      <c r="B35" t="s">
        <v>219</v>
      </c>
      <c r="C35" s="12" t="str">
        <f>IFERROR(VLOOKUP(B35,concorrenti!A:C,3,0)," ")</f>
        <v>A</v>
      </c>
      <c r="D35" s="12">
        <f>VLOOKUP(B35,concorrenti!A:E,5,0)</f>
        <v>0</v>
      </c>
      <c r="E35" s="12" t="str">
        <f>VLOOKUP(B35,concorrenti!A$1:G$301,2,0)</f>
        <v>OROBICO</v>
      </c>
      <c r="F35" s="50">
        <f>IFERROR(VLOOKUP(B35,'Nora Sciplino'!A$12:O$58,15,0),0)</f>
        <v>0</v>
      </c>
      <c r="G35" s="80">
        <f>IFERROR(VLOOKUP(B35,Castellotti!A$12:O$66,15,0),0)</f>
        <v>65.834999999999994</v>
      </c>
      <c r="H35" s="50">
        <f>IFERROR(VLOOKUP(B35,Solidarietà!A:O,14,0),0)</f>
        <v>0</v>
      </c>
      <c r="I35" s="50">
        <v>0</v>
      </c>
      <c r="J35" s="50">
        <v>0</v>
      </c>
      <c r="K35" s="50"/>
      <c r="L35" s="50"/>
      <c r="M35" s="50">
        <v>0</v>
      </c>
      <c r="O35" s="63">
        <f>SUM(F35:N35)</f>
        <v>65.834999999999994</v>
      </c>
      <c r="Q35" s="59">
        <v>1</v>
      </c>
      <c r="R35" s="60">
        <f>VLOOKUP(Q35,Regolamento!G$6:I$14,3,0)</f>
        <v>1</v>
      </c>
      <c r="T35" s="63">
        <f>+R35*O35</f>
        <v>65.834999999999994</v>
      </c>
      <c r="U35" s="2"/>
    </row>
    <row r="36" spans="1:21" x14ac:dyDescent="0.25">
      <c r="A36">
        <v>32</v>
      </c>
      <c r="B36" s="8" t="s">
        <v>77</v>
      </c>
      <c r="C36" s="12" t="str">
        <f>IFERROR(VLOOKUP(B36,concorrenti!A:C,3,0)," ")</f>
        <v>B</v>
      </c>
      <c r="D36" s="12">
        <f>VLOOKUP(B36,concorrenti!A:E,5,0)</f>
        <v>0</v>
      </c>
      <c r="E36" s="12" t="str">
        <f>VLOOKUP(B36,concorrenti!A$1:G$301,2,0)</f>
        <v>VAMS</v>
      </c>
      <c r="F36" s="50">
        <f>IFERROR(VLOOKUP(B36,'Nora Sciplino'!A$12:O$58,15,0),0)</f>
        <v>63.376499999999993</v>
      </c>
      <c r="G36" s="80">
        <f>IFERROR(VLOOKUP(B36,Castellotti!A$12:O$66,15,0),0)</f>
        <v>0</v>
      </c>
      <c r="H36" s="50">
        <f>IFERROR(VLOOKUP(B36,Solidarietà!A:O,14,0),0)</f>
        <v>0</v>
      </c>
      <c r="I36" s="50">
        <v>0</v>
      </c>
      <c r="J36" s="50">
        <v>0</v>
      </c>
      <c r="K36" s="50"/>
      <c r="L36" s="50"/>
      <c r="M36" s="50">
        <v>0</v>
      </c>
      <c r="O36" s="63">
        <f>SUM(F36:N36)</f>
        <v>63.376499999999993</v>
      </c>
      <c r="Q36" s="59">
        <v>1</v>
      </c>
      <c r="R36" s="60">
        <f>VLOOKUP(Q36,Regolamento!G$6:I$14,3,0)</f>
        <v>1</v>
      </c>
      <c r="T36" s="63">
        <f>+R36*O36</f>
        <v>63.376499999999993</v>
      </c>
      <c r="U36" s="2"/>
    </row>
    <row r="37" spans="1:21" x14ac:dyDescent="0.25">
      <c r="A37">
        <v>33</v>
      </c>
      <c r="B37" s="8" t="s">
        <v>28</v>
      </c>
      <c r="C37" s="12" t="str">
        <f>IFERROR(VLOOKUP(B37,concorrenti!A:C,3,0)," ")</f>
        <v>B</v>
      </c>
      <c r="D37" s="12">
        <f>VLOOKUP(B37,concorrenti!A:E,5,0)</f>
        <v>0</v>
      </c>
      <c r="E37" s="12" t="str">
        <f>VLOOKUP(B37,concorrenti!A$1:G$301,2,0)</f>
        <v>VAMS</v>
      </c>
      <c r="F37" s="50">
        <f>IFERROR(VLOOKUP(B37,'Nora Sciplino'!A$12:O$58,15,0),0)</f>
        <v>60.620999999999995</v>
      </c>
      <c r="G37" s="80">
        <f>IFERROR(VLOOKUP(B37,Castellotti!A$12:O$66,15,0),0)</f>
        <v>0</v>
      </c>
      <c r="H37" s="50">
        <f>IFERROR(VLOOKUP(B37,Solidarietà!A:O,14,0),0)</f>
        <v>0</v>
      </c>
      <c r="I37" s="50">
        <v>0</v>
      </c>
      <c r="J37" s="50">
        <v>0</v>
      </c>
      <c r="K37" s="50"/>
      <c r="L37" s="50"/>
      <c r="M37" s="50">
        <v>0</v>
      </c>
      <c r="O37" s="63">
        <f>SUM(F37:N37)</f>
        <v>60.620999999999995</v>
      </c>
      <c r="Q37" s="59">
        <v>1</v>
      </c>
      <c r="R37" s="60">
        <f>VLOOKUP(Q37,Regolamento!G$6:I$14,3,0)</f>
        <v>1</v>
      </c>
      <c r="T37" s="63">
        <f>+R37*O37</f>
        <v>60.620999999999995</v>
      </c>
      <c r="U37" s="2"/>
    </row>
    <row r="38" spans="1:21" x14ac:dyDescent="0.25">
      <c r="A38">
        <v>34</v>
      </c>
      <c r="B38" s="8" t="s">
        <v>18</v>
      </c>
      <c r="C38" s="12" t="str">
        <f>IFERROR(VLOOKUP(B38,concorrenti!A:C,3,0)," ")</f>
        <v>C</v>
      </c>
      <c r="D38" s="12">
        <f>VLOOKUP(B38,concorrenti!A:E,5,0)</f>
        <v>0</v>
      </c>
      <c r="E38" s="12" t="str">
        <f>VLOOKUP(B38,concorrenti!A$1:G$301,2,0)</f>
        <v>VAMS</v>
      </c>
      <c r="F38" s="50">
        <f>IFERROR(VLOOKUP(B38,'Nora Sciplino'!A$12:O$58,15,0),0)</f>
        <v>22.043999999999997</v>
      </c>
      <c r="G38" s="80">
        <f>IFERROR(VLOOKUP(B38,Castellotti!A$12:O$66,15,0),0)</f>
        <v>34.484999999999992</v>
      </c>
      <c r="H38" s="50">
        <f>IFERROR(VLOOKUP(B38,Solidarietà!A:O,14,0),0)</f>
        <v>0</v>
      </c>
      <c r="I38" s="50">
        <v>0</v>
      </c>
      <c r="J38" s="50">
        <v>0</v>
      </c>
      <c r="K38" s="50"/>
      <c r="L38" s="50"/>
      <c r="M38" s="50">
        <v>0</v>
      </c>
      <c r="N38" s="4"/>
      <c r="O38" s="63">
        <f>SUM(F38:N38)</f>
        <v>56.528999999999989</v>
      </c>
      <c r="Q38" s="59">
        <v>2</v>
      </c>
      <c r="R38" s="60">
        <f>VLOOKUP(Q38,Regolamento!G$6:I$14,3,0)</f>
        <v>1.05</v>
      </c>
      <c r="T38" s="63">
        <f>+R38*O38</f>
        <v>59.35544999999999</v>
      </c>
      <c r="U38" s="2"/>
    </row>
    <row r="39" spans="1:21" x14ac:dyDescent="0.25">
      <c r="A39">
        <v>35</v>
      </c>
      <c r="B39" s="8" t="s">
        <v>78</v>
      </c>
      <c r="C39" s="12" t="str">
        <f>IFERROR(VLOOKUP(B39,concorrenti!A:C,3,0)," ")</f>
        <v>B</v>
      </c>
      <c r="D39" s="12">
        <f>VLOOKUP(B39,concorrenti!A:E,5,0)</f>
        <v>0</v>
      </c>
      <c r="E39" s="12" t="str">
        <f>VLOOKUP(B39,concorrenti!A$1:G$301,2,0)</f>
        <v>VALTELLINA</v>
      </c>
      <c r="F39" s="50">
        <f>IFERROR(VLOOKUP(B39,'Nora Sciplino'!A$12:O$58,15,0),0)</f>
        <v>57.865499999999997</v>
      </c>
      <c r="G39" s="80">
        <f>IFERROR(VLOOKUP(B39,Castellotti!A$12:O$66,15,0),0)</f>
        <v>0</v>
      </c>
      <c r="H39" s="50">
        <f>IFERROR(VLOOKUP(B39,Solidarietà!A:O,14,0),0)</f>
        <v>0</v>
      </c>
      <c r="I39" s="50">
        <v>0</v>
      </c>
      <c r="J39" s="50">
        <v>0</v>
      </c>
      <c r="K39" s="50"/>
      <c r="L39" s="50"/>
      <c r="M39" s="50">
        <v>0</v>
      </c>
      <c r="O39" s="63">
        <f>SUM(F39:N39)</f>
        <v>57.865499999999997</v>
      </c>
      <c r="Q39" s="59">
        <v>1</v>
      </c>
      <c r="R39" s="60">
        <f>VLOOKUP(Q39,Regolamento!G$6:I$14,3,0)</f>
        <v>1</v>
      </c>
      <c r="T39" s="63">
        <f>+R39*O39</f>
        <v>57.865499999999997</v>
      </c>
      <c r="U39" s="2"/>
    </row>
    <row r="40" spans="1:21" x14ac:dyDescent="0.25">
      <c r="A40">
        <v>36</v>
      </c>
      <c r="B40" s="8" t="s">
        <v>88</v>
      </c>
      <c r="C40" s="12" t="str">
        <f>IFERROR(VLOOKUP(B40,concorrenti!A:C,3,0)," ")</f>
        <v>C</v>
      </c>
      <c r="D40" s="12">
        <f>VLOOKUP(B40,concorrenti!A:E,5,0)</f>
        <v>0</v>
      </c>
      <c r="E40" s="12" t="str">
        <f>VLOOKUP(B40,concorrenti!A$1:G$301,2,0)</f>
        <v>CASTELLOTTI</v>
      </c>
      <c r="F40" s="50">
        <f>IFERROR(VLOOKUP(B40,'Nora Sciplino'!A$12:O$58,15,0),0)</f>
        <v>1.3777499999999998</v>
      </c>
      <c r="G40" s="80">
        <f>IFERROR(VLOOKUP(B40,Castellotti!A$12:O$66,15,0),0)</f>
        <v>53.294999999999995</v>
      </c>
      <c r="H40" s="50">
        <f>IFERROR(VLOOKUP(B40,Solidarietà!A:O,14,0),0)</f>
        <v>0</v>
      </c>
      <c r="I40" s="50">
        <v>0</v>
      </c>
      <c r="J40" s="50">
        <v>0</v>
      </c>
      <c r="K40" s="50"/>
      <c r="L40" s="50"/>
      <c r="M40" s="50">
        <v>0</v>
      </c>
      <c r="N40" s="4"/>
      <c r="O40" s="63">
        <f>SUM(F40:N40)</f>
        <v>54.672749999999994</v>
      </c>
      <c r="Q40" s="59">
        <v>2</v>
      </c>
      <c r="R40" s="60">
        <f>VLOOKUP(Q40,Regolamento!G$6:I$14,3,0)</f>
        <v>1.05</v>
      </c>
      <c r="T40" s="63">
        <f>+R40*O40</f>
        <v>57.406387499999994</v>
      </c>
      <c r="U40" s="2"/>
    </row>
    <row r="41" spans="1:21" x14ac:dyDescent="0.25">
      <c r="A41">
        <v>37</v>
      </c>
      <c r="B41" t="s">
        <v>221</v>
      </c>
      <c r="C41" s="12" t="str">
        <f>IFERROR(VLOOKUP(B41,concorrenti!A:C,3,0)," ")</f>
        <v>B</v>
      </c>
      <c r="D41" s="12">
        <f>VLOOKUP(B41,concorrenti!A:E,5,0)</f>
        <v>0</v>
      </c>
      <c r="E41" s="12" t="str">
        <f>VLOOKUP(B41,concorrenti!A$1:G$301,2,0)</f>
        <v>CMAE</v>
      </c>
      <c r="F41" s="50">
        <f>IFERROR(VLOOKUP(B41,'Nora Sciplino'!A$12:O$58,15,0),0)</f>
        <v>0</v>
      </c>
      <c r="G41" s="80">
        <f>IFERROR(VLOOKUP(B41,Castellotti!A$12:O$66,15,0),0)</f>
        <v>56.429999999999993</v>
      </c>
      <c r="H41" s="50">
        <f>IFERROR(VLOOKUP(B41,Solidarietà!A:O,14,0),0)</f>
        <v>0</v>
      </c>
      <c r="I41" s="50">
        <v>0</v>
      </c>
      <c r="J41" s="50">
        <v>0</v>
      </c>
      <c r="K41" s="50"/>
      <c r="L41" s="50"/>
      <c r="M41" s="50">
        <v>0</v>
      </c>
      <c r="O41" s="63">
        <f>SUM(F41:N41)</f>
        <v>56.429999999999993</v>
      </c>
      <c r="Q41" s="59">
        <v>1</v>
      </c>
      <c r="R41" s="60">
        <f>VLOOKUP(Q41,Regolamento!G$6:I$14,3,0)</f>
        <v>1</v>
      </c>
      <c r="T41" s="63">
        <f>+R41*O41</f>
        <v>56.429999999999993</v>
      </c>
      <c r="U41" s="2"/>
    </row>
    <row r="42" spans="1:21" x14ac:dyDescent="0.25">
      <c r="A42">
        <v>38</v>
      </c>
      <c r="B42" s="8" t="s">
        <v>79</v>
      </c>
      <c r="C42" s="12" t="str">
        <f>IFERROR(VLOOKUP(B42,concorrenti!A:C,3,0)," ")</f>
        <v>B</v>
      </c>
      <c r="D42" s="12">
        <f>VLOOKUP(B42,concorrenti!A:E,5,0)</f>
        <v>0</v>
      </c>
      <c r="E42" s="12" t="str">
        <f>VLOOKUP(B42,concorrenti!A$1:G$301,2,0)</f>
        <v>VAMS</v>
      </c>
      <c r="F42" s="50">
        <f>IFERROR(VLOOKUP(B42,'Nora Sciplino'!A$12:O$58,15,0),0)</f>
        <v>52.354499999999994</v>
      </c>
      <c r="G42" s="80">
        <f>IFERROR(VLOOKUP(B42,Castellotti!A$12:O$66,15,0),0)</f>
        <v>0</v>
      </c>
      <c r="H42" s="50">
        <f>IFERROR(VLOOKUP(B42,Solidarietà!A:O,14,0),0)</f>
        <v>0</v>
      </c>
      <c r="I42" s="50">
        <v>0</v>
      </c>
      <c r="J42" s="50">
        <v>0</v>
      </c>
      <c r="K42" s="50"/>
      <c r="L42" s="50"/>
      <c r="M42" s="50">
        <v>0</v>
      </c>
      <c r="O42" s="63">
        <f>SUM(F42:N42)</f>
        <v>52.354499999999994</v>
      </c>
      <c r="Q42" s="59">
        <v>1</v>
      </c>
      <c r="R42" s="60">
        <f>VLOOKUP(Q42,Regolamento!G$6:I$14,3,0)</f>
        <v>1</v>
      </c>
      <c r="T42" s="63">
        <f>+R42*O42</f>
        <v>52.354499999999994</v>
      </c>
      <c r="U42" s="2"/>
    </row>
    <row r="43" spans="1:21" x14ac:dyDescent="0.25">
      <c r="A43">
        <v>39</v>
      </c>
      <c r="B43" t="s">
        <v>199</v>
      </c>
      <c r="C43" s="12" t="str">
        <f>IFERROR(VLOOKUP(B43,concorrenti!A:C,3,0)," ")</f>
        <v>C</v>
      </c>
      <c r="D43" s="12">
        <f>VLOOKUP(B43,concorrenti!A:E,5,0)</f>
        <v>0</v>
      </c>
      <c r="E43" s="12" t="str">
        <f>VLOOKUP(B43,concorrenti!A$1:G$301,2,0)</f>
        <v>CASTELLOTTI</v>
      </c>
      <c r="F43" s="50">
        <f>IFERROR(VLOOKUP(B43,'Nora Sciplino'!A$12:O$58,15,0),0)</f>
        <v>0</v>
      </c>
      <c r="G43" s="80">
        <f>IFERROR(VLOOKUP(B43,Castellotti!A$12:O$66,15,0),0)</f>
        <v>50.16</v>
      </c>
      <c r="H43" s="50">
        <f>IFERROR(VLOOKUP(B43,Solidarietà!A:O,14,0),0)</f>
        <v>0</v>
      </c>
      <c r="I43" s="50">
        <v>0</v>
      </c>
      <c r="J43" s="50">
        <v>0</v>
      </c>
      <c r="K43" s="50"/>
      <c r="L43" s="50"/>
      <c r="M43" s="50">
        <v>0</v>
      </c>
      <c r="N43" s="4"/>
      <c r="O43" s="63">
        <f>SUM(F43:N43)</f>
        <v>50.16</v>
      </c>
      <c r="Q43" s="59">
        <v>1</v>
      </c>
      <c r="R43" s="60">
        <f>VLOOKUP(Q43,Regolamento!G$6:I$14,3,0)</f>
        <v>1</v>
      </c>
      <c r="T43" s="63">
        <f>+R43*O43</f>
        <v>50.16</v>
      </c>
      <c r="U43" s="2"/>
    </row>
    <row r="44" spans="1:21" x14ac:dyDescent="0.25">
      <c r="A44">
        <v>40</v>
      </c>
      <c r="B44" s="8" t="s">
        <v>13</v>
      </c>
      <c r="C44" s="12" t="str">
        <f>IFERROR(VLOOKUP(B44,concorrenti!A:C,3,0)," ")</f>
        <v>A</v>
      </c>
      <c r="D44" s="12">
        <f>VLOOKUP(B44,concorrenti!A:E,5,0)</f>
        <v>0</v>
      </c>
      <c r="E44" s="12" t="str">
        <f>VLOOKUP(B44,concorrenti!A$1:G$301,2,0)</f>
        <v>VAMS</v>
      </c>
      <c r="F44" s="50">
        <f>IFERROR(VLOOKUP(B44,'Nora Sciplino'!A$12:O$58,15,0),0)</f>
        <v>49.598999999999997</v>
      </c>
      <c r="G44" s="80">
        <f>IFERROR(VLOOKUP(B44,Castellotti!A$12:O$66,15,0),0)</f>
        <v>0</v>
      </c>
      <c r="H44" s="50">
        <f>IFERROR(VLOOKUP(B44,Solidarietà!A:O,14,0),0)</f>
        <v>0</v>
      </c>
      <c r="I44" s="50">
        <v>0</v>
      </c>
      <c r="J44" s="50">
        <v>0</v>
      </c>
      <c r="K44" s="50"/>
      <c r="L44" s="50"/>
      <c r="M44" s="50">
        <v>0</v>
      </c>
      <c r="N44" s="4"/>
      <c r="O44" s="63">
        <f>SUM(F44:N44)</f>
        <v>49.598999999999997</v>
      </c>
      <c r="Q44" s="59">
        <v>1</v>
      </c>
      <c r="R44" s="60">
        <f>VLOOKUP(Q44,Regolamento!G$6:I$14,3,0)</f>
        <v>1</v>
      </c>
      <c r="T44" s="63">
        <f>+R44*O44</f>
        <v>49.598999999999997</v>
      </c>
      <c r="U44" s="2"/>
    </row>
    <row r="45" spans="1:21" x14ac:dyDescent="0.25">
      <c r="A45">
        <v>41</v>
      </c>
      <c r="B45" s="8" t="s">
        <v>80</v>
      </c>
      <c r="C45" s="12" t="str">
        <f>IFERROR(VLOOKUP(B45,concorrenti!A:C,3,0)," ")</f>
        <v>B</v>
      </c>
      <c r="D45" s="12">
        <f>VLOOKUP(B45,concorrenti!A:E,5,0)</f>
        <v>0</v>
      </c>
      <c r="E45" s="12" t="str">
        <f>VLOOKUP(B45,concorrenti!A$1:G$301,2,0)</f>
        <v>VAMS</v>
      </c>
      <c r="F45" s="50">
        <f>IFERROR(VLOOKUP(B45,'Nora Sciplino'!A$12:O$58,15,0),0)</f>
        <v>46.843499999999992</v>
      </c>
      <c r="G45" s="80">
        <f>IFERROR(VLOOKUP(B45,Castellotti!A$12:O$66,15,0),0)</f>
        <v>0</v>
      </c>
      <c r="H45" s="50">
        <f>IFERROR(VLOOKUP(B45,Solidarietà!A:O,14,0),0)</f>
        <v>0</v>
      </c>
      <c r="I45" s="50">
        <v>0</v>
      </c>
      <c r="J45" s="50">
        <v>0</v>
      </c>
      <c r="K45" s="50"/>
      <c r="L45" s="50"/>
      <c r="M45" s="50">
        <v>0</v>
      </c>
      <c r="N45" s="4"/>
      <c r="O45" s="63">
        <f>SUM(F45:N45)</f>
        <v>46.843499999999992</v>
      </c>
      <c r="Q45" s="59">
        <v>1</v>
      </c>
      <c r="R45" s="60">
        <f>VLOOKUP(Q45,Regolamento!G$6:I$14,3,0)</f>
        <v>1</v>
      </c>
      <c r="T45" s="63">
        <f>+R45*O45</f>
        <v>46.843499999999992</v>
      </c>
      <c r="U45" s="2"/>
    </row>
    <row r="46" spans="1:21" x14ac:dyDescent="0.25">
      <c r="A46">
        <v>42</v>
      </c>
      <c r="B46" s="8" t="s">
        <v>81</v>
      </c>
      <c r="C46" s="12" t="str">
        <f>IFERROR(VLOOKUP(B46,concorrenti!A:C,3,0)," ")</f>
        <v>B</v>
      </c>
      <c r="D46" s="12">
        <f>VLOOKUP(B46,concorrenti!A:E,5,0)</f>
        <v>0</v>
      </c>
      <c r="E46" s="12" t="str">
        <f>VLOOKUP(B46,concorrenti!A$1:G$301,2,0)</f>
        <v>VALTELLINA</v>
      </c>
      <c r="F46" s="50">
        <f>IFERROR(VLOOKUP(B46,'Nora Sciplino'!A$12:O$58,15,0),0)</f>
        <v>44.087999999999994</v>
      </c>
      <c r="G46" s="80">
        <f>IFERROR(VLOOKUP(B46,Castellotti!A$12:O$66,15,0),0)</f>
        <v>0</v>
      </c>
      <c r="H46" s="50">
        <f>IFERROR(VLOOKUP(B46,Solidarietà!A:O,14,0),0)</f>
        <v>0</v>
      </c>
      <c r="I46" s="50">
        <v>0</v>
      </c>
      <c r="J46" s="50">
        <v>0</v>
      </c>
      <c r="K46" s="50"/>
      <c r="L46" s="50"/>
      <c r="M46" s="50">
        <v>0</v>
      </c>
      <c r="O46" s="63">
        <f>SUM(F46:N46)</f>
        <v>44.087999999999994</v>
      </c>
      <c r="Q46" s="59">
        <v>1</v>
      </c>
      <c r="R46" s="60">
        <f>VLOOKUP(Q46,Regolamento!G$6:I$14,3,0)</f>
        <v>1</v>
      </c>
      <c r="T46" s="63">
        <f>+R46*O46</f>
        <v>44.087999999999994</v>
      </c>
      <c r="U46" s="2"/>
    </row>
    <row r="47" spans="1:21" x14ac:dyDescent="0.25">
      <c r="A47">
        <v>43</v>
      </c>
      <c r="B47" t="s">
        <v>198</v>
      </c>
      <c r="C47" s="12" t="str">
        <f>IFERROR(VLOOKUP(B47,concorrenti!A:C,3,0)," ")</f>
        <v>C</v>
      </c>
      <c r="D47" s="12">
        <f>VLOOKUP(B47,concorrenti!A:E,5,0)</f>
        <v>0</v>
      </c>
      <c r="E47" s="12" t="str">
        <f>VLOOKUP(B47,concorrenti!A$1:G$301,2,0)</f>
        <v>CASTELLOTTI</v>
      </c>
      <c r="F47" s="50">
        <f>IFERROR(VLOOKUP(B47,'Nora Sciplino'!A$12:O$58,15,0),0)</f>
        <v>0</v>
      </c>
      <c r="G47" s="80">
        <f>IFERROR(VLOOKUP(B47,Castellotti!A$12:O$66,15,0),0)</f>
        <v>43.889999999999993</v>
      </c>
      <c r="H47" s="50">
        <f>IFERROR(VLOOKUP(B47,Solidarietà!A:O,14,0),0)</f>
        <v>0</v>
      </c>
      <c r="I47" s="50">
        <v>0</v>
      </c>
      <c r="J47" s="50">
        <v>0</v>
      </c>
      <c r="K47" s="50"/>
      <c r="L47" s="50"/>
      <c r="M47" s="50">
        <v>0</v>
      </c>
      <c r="N47" s="4"/>
      <c r="O47" s="63">
        <f>SUM(F47:N47)</f>
        <v>43.889999999999993</v>
      </c>
      <c r="Q47" s="59">
        <v>1</v>
      </c>
      <c r="R47" s="60">
        <f>VLOOKUP(Q47,Regolamento!G$6:I$14,3,0)</f>
        <v>1</v>
      </c>
      <c r="T47" s="63">
        <f>+R47*O47</f>
        <v>43.889999999999993</v>
      </c>
      <c r="U47" s="2"/>
    </row>
    <row r="48" spans="1:21" x14ac:dyDescent="0.25">
      <c r="A48">
        <v>44</v>
      </c>
      <c r="B48" s="8" t="s">
        <v>31</v>
      </c>
      <c r="C48" s="12" t="str">
        <f>IFERROR(VLOOKUP(B48,concorrenti!A:C,3,0)," ")</f>
        <v>B</v>
      </c>
      <c r="D48" s="12">
        <f>VLOOKUP(B48,concorrenti!A:E,5,0)</f>
        <v>0</v>
      </c>
      <c r="E48" s="12" t="str">
        <f>VLOOKUP(B48,concorrenti!A$1:G$301,2,0)</f>
        <v>OROBICO</v>
      </c>
      <c r="F48" s="50">
        <f>IFERROR(VLOOKUP(B48,'Nora Sciplino'!A$12:O$58,15,0),0)</f>
        <v>41.332499999999996</v>
      </c>
      <c r="G48" s="80">
        <f>IFERROR(VLOOKUP(B48,Castellotti!A$12:O$66,15,0),0)</f>
        <v>0</v>
      </c>
      <c r="H48" s="50">
        <f>IFERROR(VLOOKUP(B48,Solidarietà!A:O,14,0),0)</f>
        <v>0</v>
      </c>
      <c r="I48" s="50">
        <v>0</v>
      </c>
      <c r="J48" s="50">
        <v>0</v>
      </c>
      <c r="K48" s="50"/>
      <c r="L48" s="50"/>
      <c r="M48" s="50">
        <v>0</v>
      </c>
      <c r="O48" s="63">
        <f>SUM(F48:N48)</f>
        <v>41.332499999999996</v>
      </c>
      <c r="Q48" s="59">
        <v>1</v>
      </c>
      <c r="R48" s="60">
        <f>VLOOKUP(Q48,Regolamento!G$6:I$14,3,0)</f>
        <v>1</v>
      </c>
      <c r="T48" s="63">
        <f>+R48*O48</f>
        <v>41.332499999999996</v>
      </c>
      <c r="U48" s="2"/>
    </row>
    <row r="49" spans="1:21" x14ac:dyDescent="0.25">
      <c r="A49">
        <v>45</v>
      </c>
      <c r="B49" t="s">
        <v>196</v>
      </c>
      <c r="C49" s="12" t="str">
        <f>IFERROR(VLOOKUP(B49,concorrenti!A:C,3,0)," ")</f>
        <v>C</v>
      </c>
      <c r="D49" s="12">
        <f>VLOOKUP(B49,concorrenti!A:E,5,0)</f>
        <v>0</v>
      </c>
      <c r="E49" s="12" t="str">
        <f>VLOOKUP(B49,concorrenti!A$1:G$301,2,0)</f>
        <v>CASTELLOTTI</v>
      </c>
      <c r="F49" s="50">
        <f>IFERROR(VLOOKUP(B49,'Nora Sciplino'!A$12:O$58,15,0),0)</f>
        <v>0</v>
      </c>
      <c r="G49" s="80">
        <f>IFERROR(VLOOKUP(B49,Castellotti!A$12:O$66,15,0),0)</f>
        <v>40.754999999999995</v>
      </c>
      <c r="H49" s="50">
        <f>IFERROR(VLOOKUP(B49,Solidarietà!A:O,14,0),0)</f>
        <v>0</v>
      </c>
      <c r="I49" s="50">
        <v>0</v>
      </c>
      <c r="J49" s="50">
        <v>0</v>
      </c>
      <c r="K49" s="50"/>
      <c r="L49" s="50"/>
      <c r="M49" s="50">
        <v>0</v>
      </c>
      <c r="N49" s="4"/>
      <c r="O49" s="63">
        <f>SUM(F49:N49)</f>
        <v>40.754999999999995</v>
      </c>
      <c r="Q49" s="59">
        <v>1</v>
      </c>
      <c r="R49" s="60">
        <f>VLOOKUP(Q49,Regolamento!G$6:I$14,3,0)</f>
        <v>1</v>
      </c>
      <c r="T49" s="63">
        <f>+R49*O49</f>
        <v>40.754999999999995</v>
      </c>
      <c r="U49" s="2"/>
    </row>
    <row r="50" spans="1:21" x14ac:dyDescent="0.25">
      <c r="A50">
        <v>46</v>
      </c>
      <c r="B50" t="s">
        <v>193</v>
      </c>
      <c r="C50" s="12" t="str">
        <f>IFERROR(VLOOKUP(B50,concorrenti!A:C,3,0)," ")</f>
        <v>C</v>
      </c>
      <c r="D50" s="12">
        <f>VLOOKUP(B50,concorrenti!A:E,5,0)</f>
        <v>0</v>
      </c>
      <c r="E50" s="12" t="str">
        <f>VLOOKUP(B50,concorrenti!A$1:G$301,2,0)</f>
        <v>CASTELLOTTI</v>
      </c>
      <c r="F50" s="50">
        <f>IFERROR(VLOOKUP(B50,'Nora Sciplino'!A$12:O$58,15,0),0)</f>
        <v>0</v>
      </c>
      <c r="G50" s="80">
        <f>IFERROR(VLOOKUP(B50,Castellotti!A$12:O$66,15,0),0)</f>
        <v>37.61999999999999</v>
      </c>
      <c r="H50" s="50">
        <f>IFERROR(VLOOKUP(B50,Solidarietà!A:O,14,0),0)</f>
        <v>0</v>
      </c>
      <c r="I50" s="50">
        <v>0</v>
      </c>
      <c r="J50" s="50">
        <v>0</v>
      </c>
      <c r="K50" s="50"/>
      <c r="L50" s="50"/>
      <c r="M50" s="50">
        <v>0</v>
      </c>
      <c r="O50" s="63">
        <f>SUM(F50:N50)</f>
        <v>37.61999999999999</v>
      </c>
      <c r="Q50" s="59">
        <v>1</v>
      </c>
      <c r="R50" s="60">
        <f>VLOOKUP(Q50,Regolamento!G$6:I$14,3,0)</f>
        <v>1</v>
      </c>
      <c r="T50" s="63">
        <f>+R50*O50</f>
        <v>37.61999999999999</v>
      </c>
      <c r="U50" s="2"/>
    </row>
    <row r="51" spans="1:21" x14ac:dyDescent="0.25">
      <c r="A51">
        <v>47</v>
      </c>
      <c r="B51" s="8" t="s">
        <v>40</v>
      </c>
      <c r="C51" s="12" t="str">
        <f>IFERROR(VLOOKUP(B51,concorrenti!A:C,3,0)," ")</f>
        <v>C</v>
      </c>
      <c r="D51" s="12">
        <f>VLOOKUP(B51,concorrenti!A:E,5,0)</f>
        <v>0</v>
      </c>
      <c r="E51" s="12" t="str">
        <f>VLOOKUP(B51,concorrenti!A$1:G$301,2,0)</f>
        <v>VAMS</v>
      </c>
      <c r="F51" s="50">
        <f>IFERROR(VLOOKUP(B51,'Nora Sciplino'!A$12:O$58,15,0),0)</f>
        <v>33.065999999999995</v>
      </c>
      <c r="G51" s="80">
        <f>IFERROR(VLOOKUP(B51,Castellotti!A$12:O$66,15,0),0)</f>
        <v>0</v>
      </c>
      <c r="H51" s="50">
        <f>IFERROR(VLOOKUP(B51,Solidarietà!A:O,14,0),0)</f>
        <v>0</v>
      </c>
      <c r="I51" s="50">
        <v>0</v>
      </c>
      <c r="J51" s="50">
        <v>0</v>
      </c>
      <c r="K51" s="50"/>
      <c r="L51" s="50"/>
      <c r="M51" s="50">
        <v>0</v>
      </c>
      <c r="O51" s="63">
        <f>SUM(F51:N51)</f>
        <v>33.065999999999995</v>
      </c>
      <c r="Q51" s="59">
        <v>1</v>
      </c>
      <c r="R51" s="60">
        <f>VLOOKUP(Q51,Regolamento!G$6:I$14,3,0)</f>
        <v>1</v>
      </c>
      <c r="T51" s="63">
        <f>+R51*O51</f>
        <v>33.065999999999995</v>
      </c>
      <c r="U51" s="2"/>
    </row>
    <row r="52" spans="1:21" x14ac:dyDescent="0.25">
      <c r="A52">
        <v>48</v>
      </c>
      <c r="B52" t="s">
        <v>205</v>
      </c>
      <c r="C52" s="12" t="str">
        <f>IFERROR(VLOOKUP(B52,concorrenti!A:C,3,0)," ")</f>
        <v>C</v>
      </c>
      <c r="D52" s="12">
        <f>VLOOKUP(B52,concorrenti!A:E,5,0)</f>
        <v>0</v>
      </c>
      <c r="E52" s="12" t="str">
        <f>VLOOKUP(B52,concorrenti!A$1:G$301,2,0)</f>
        <v>CASTELLOTTI</v>
      </c>
      <c r="F52" s="50">
        <f>IFERROR(VLOOKUP(B52,'Nora Sciplino'!A$12:O$58,15,0),0)</f>
        <v>0</v>
      </c>
      <c r="G52" s="80">
        <f>IFERROR(VLOOKUP(B52,Castellotti!A$12:O$66,15,0),0)</f>
        <v>31.349999999999998</v>
      </c>
      <c r="H52" s="50">
        <f>IFERROR(VLOOKUP(B52,Solidarietà!A:O,14,0),0)</f>
        <v>0</v>
      </c>
      <c r="I52" s="50">
        <v>0</v>
      </c>
      <c r="J52" s="50">
        <v>0</v>
      </c>
      <c r="K52" s="50"/>
      <c r="L52" s="50"/>
      <c r="M52" s="50">
        <v>0</v>
      </c>
      <c r="N52" s="4"/>
      <c r="O52" s="63">
        <f>SUM(F52:N52)</f>
        <v>31.349999999999998</v>
      </c>
      <c r="Q52" s="59">
        <v>1</v>
      </c>
      <c r="R52" s="60">
        <f>VLOOKUP(Q52,Regolamento!G$6:I$14,3,0)</f>
        <v>1</v>
      </c>
      <c r="T52" s="63">
        <f>+R52*O52</f>
        <v>31.349999999999998</v>
      </c>
      <c r="U52" s="2"/>
    </row>
    <row r="53" spans="1:21" x14ac:dyDescent="0.25">
      <c r="A53">
        <v>49</v>
      </c>
      <c r="B53" s="8" t="s">
        <v>30</v>
      </c>
      <c r="C53" s="12" t="str">
        <f>IFERROR(VLOOKUP(B53,concorrenti!A:C,3,0)," ")</f>
        <v>C</v>
      </c>
      <c r="D53" s="12">
        <f>VLOOKUP(B53,concorrenti!A:E,5,0)</f>
        <v>0</v>
      </c>
      <c r="E53" s="12" t="str">
        <f>VLOOKUP(B53,concorrenti!A$1:G$301,2,0)</f>
        <v>VAMS</v>
      </c>
      <c r="F53" s="50">
        <f>IFERROR(VLOOKUP(B53,'Nora Sciplino'!A$12:O$58,15,0),0)</f>
        <v>30.310499999999998</v>
      </c>
      <c r="G53" s="80">
        <f>IFERROR(VLOOKUP(B53,Castellotti!A$12:O$66,15,0),0)</f>
        <v>0</v>
      </c>
      <c r="H53" s="50">
        <f>IFERROR(VLOOKUP(B53,Solidarietà!A:O,14,0),0)</f>
        <v>0</v>
      </c>
      <c r="I53" s="50">
        <v>0</v>
      </c>
      <c r="J53" s="50">
        <v>0</v>
      </c>
      <c r="K53" s="50"/>
      <c r="L53" s="50"/>
      <c r="M53" s="50">
        <v>0</v>
      </c>
      <c r="O53" s="63">
        <f>SUM(F53:N53)</f>
        <v>30.310499999999998</v>
      </c>
      <c r="Q53" s="59">
        <v>1</v>
      </c>
      <c r="R53" s="60">
        <f>VLOOKUP(Q53,Regolamento!G$6:I$14,3,0)</f>
        <v>1</v>
      </c>
      <c r="T53" s="63">
        <f>+R53*O53</f>
        <v>30.310499999999998</v>
      </c>
      <c r="U53" s="2"/>
    </row>
    <row r="54" spans="1:21" x14ac:dyDescent="0.25">
      <c r="A54">
        <v>50</v>
      </c>
      <c r="B54" t="s">
        <v>208</v>
      </c>
      <c r="C54" s="12" t="str">
        <f>IFERROR(VLOOKUP(B54,concorrenti!A:C,3,0)," ")</f>
        <v>C</v>
      </c>
      <c r="D54" s="12">
        <f>VLOOKUP(B54,concorrenti!A:E,5,0)</f>
        <v>0</v>
      </c>
      <c r="E54" s="12" t="str">
        <f>VLOOKUP(B54,concorrenti!A$1:G$301,2,0)</f>
        <v>CASTELLOTTI</v>
      </c>
      <c r="F54" s="50">
        <f>IFERROR(VLOOKUP(B54,'Nora Sciplino'!A$12:O$58,15,0),0)</f>
        <v>0</v>
      </c>
      <c r="G54" s="80">
        <f>IFERROR(VLOOKUP(B54,Castellotti!A$12:O$66,15,0),0)</f>
        <v>28.214999999999996</v>
      </c>
      <c r="H54" s="50">
        <f>IFERROR(VLOOKUP(B54,Solidarietà!A:O,14,0),0)</f>
        <v>0</v>
      </c>
      <c r="I54" s="50">
        <v>0</v>
      </c>
      <c r="J54" s="50">
        <v>0</v>
      </c>
      <c r="K54" s="50"/>
      <c r="L54" s="50"/>
      <c r="M54" s="50">
        <v>0</v>
      </c>
      <c r="O54" s="63">
        <f>SUM(F54:N54)</f>
        <v>28.214999999999996</v>
      </c>
      <c r="Q54" s="59">
        <v>1</v>
      </c>
      <c r="R54" s="60">
        <f>VLOOKUP(Q54,Regolamento!G$6:I$14,3,0)</f>
        <v>1</v>
      </c>
      <c r="T54" s="63">
        <f>+R54*O54</f>
        <v>28.214999999999996</v>
      </c>
      <c r="U54" s="2"/>
    </row>
    <row r="55" spans="1:21" x14ac:dyDescent="0.25">
      <c r="A55">
        <v>51</v>
      </c>
      <c r="B55" s="8" t="s">
        <v>24</v>
      </c>
      <c r="C55" s="12" t="str">
        <f>IFERROR(VLOOKUP(B55,concorrenti!A:C,3,0)," ")</f>
        <v>C</v>
      </c>
      <c r="D55" s="12">
        <f>VLOOKUP(B55,concorrenti!A:E,5,0)</f>
        <v>0</v>
      </c>
      <c r="E55" s="12" t="str">
        <f>VLOOKUP(B55,concorrenti!A$1:G$301,2,0)</f>
        <v>VAMS</v>
      </c>
      <c r="F55" s="50">
        <f>IFERROR(VLOOKUP(B55,'Nora Sciplino'!A$12:O$58,15,0),0)</f>
        <v>27.555</v>
      </c>
      <c r="G55" s="80">
        <f>IFERROR(VLOOKUP(B55,Castellotti!A$12:O$66,15,0),0)</f>
        <v>0</v>
      </c>
      <c r="H55" s="50">
        <f>IFERROR(VLOOKUP(B55,Solidarietà!A:O,14,0),0)</f>
        <v>0</v>
      </c>
      <c r="I55" s="50">
        <v>0</v>
      </c>
      <c r="J55" s="50">
        <v>0</v>
      </c>
      <c r="K55" s="50"/>
      <c r="L55" s="50"/>
      <c r="M55" s="50">
        <v>0</v>
      </c>
      <c r="N55" s="4"/>
      <c r="O55" s="63">
        <f>SUM(F55:N55)</f>
        <v>27.555</v>
      </c>
      <c r="Q55" s="59">
        <v>1</v>
      </c>
      <c r="R55" s="60">
        <f>VLOOKUP(Q55,Regolamento!G$6:I$14,3,0)</f>
        <v>1</v>
      </c>
      <c r="T55" s="63">
        <f>+R55*O55</f>
        <v>27.555</v>
      </c>
      <c r="U55" s="2"/>
    </row>
    <row r="56" spans="1:21" x14ac:dyDescent="0.25">
      <c r="A56">
        <v>52</v>
      </c>
      <c r="B56" t="s">
        <v>220</v>
      </c>
      <c r="C56" s="12" t="str">
        <f>IFERROR(VLOOKUP(B56,concorrenti!A:C,3,0)," ")</f>
        <v>C</v>
      </c>
      <c r="D56" s="12">
        <f>VLOOKUP(B56,concorrenti!A:E,5,0)</f>
        <v>0</v>
      </c>
      <c r="E56" s="12" t="str">
        <f>VLOOKUP(B56,concorrenti!A$1:G$301,2,0)</f>
        <v>OROBICO</v>
      </c>
      <c r="F56" s="50">
        <f>IFERROR(VLOOKUP(B56,'Nora Sciplino'!A$12:O$58,15,0),0)</f>
        <v>0</v>
      </c>
      <c r="G56" s="80">
        <f>IFERROR(VLOOKUP(B56,Castellotti!A$12:O$66,15,0),0)</f>
        <v>25.08</v>
      </c>
      <c r="H56" s="50">
        <f>IFERROR(VLOOKUP(B56,Solidarietà!A:O,14,0),0)</f>
        <v>0</v>
      </c>
      <c r="I56" s="50">
        <v>0</v>
      </c>
      <c r="J56" s="50">
        <v>0</v>
      </c>
      <c r="K56" s="50"/>
      <c r="L56" s="50"/>
      <c r="M56" s="50">
        <v>0</v>
      </c>
      <c r="O56" s="63">
        <f>SUM(F56:N56)</f>
        <v>25.08</v>
      </c>
      <c r="Q56" s="59">
        <v>1</v>
      </c>
      <c r="R56" s="60">
        <f>VLOOKUP(Q56,Regolamento!G$6:I$14,3,0)</f>
        <v>1</v>
      </c>
      <c r="T56" s="63">
        <f>+R56*O56</f>
        <v>25.08</v>
      </c>
      <c r="U56" s="2"/>
    </row>
    <row r="57" spans="1:21" x14ac:dyDescent="0.25">
      <c r="A57">
        <v>53</v>
      </c>
      <c r="B57" s="8" t="s">
        <v>83</v>
      </c>
      <c r="C57" s="12" t="str">
        <f>IFERROR(VLOOKUP(B57,concorrenti!A:C,3,0)," ")</f>
        <v>C</v>
      </c>
      <c r="D57" s="12">
        <f>VLOOKUP(B57,concorrenti!A:E,5,0)</f>
        <v>0</v>
      </c>
      <c r="E57" s="12" t="str">
        <f>VLOOKUP(B57,concorrenti!A$1:G$301,2,0)</f>
        <v>VAMS</v>
      </c>
      <c r="F57" s="50">
        <f>IFERROR(VLOOKUP(B57,'Nora Sciplino'!A$12:O$58,15,0),0)</f>
        <v>24.799499999999998</v>
      </c>
      <c r="G57" s="80">
        <f>IFERROR(VLOOKUP(B57,Castellotti!A$12:O$66,15,0),0)</f>
        <v>0</v>
      </c>
      <c r="H57" s="50">
        <f>IFERROR(VLOOKUP(B57,Solidarietà!A:O,14,0),0)</f>
        <v>0</v>
      </c>
      <c r="I57" s="50">
        <v>0</v>
      </c>
      <c r="J57" s="50">
        <v>0</v>
      </c>
      <c r="K57" s="50"/>
      <c r="L57" s="50"/>
      <c r="M57" s="50">
        <v>0</v>
      </c>
      <c r="N57" s="4"/>
      <c r="O57" s="63">
        <f>SUM(F57:N57)</f>
        <v>24.799499999999998</v>
      </c>
      <c r="Q57" s="59">
        <v>1</v>
      </c>
      <c r="R57" s="60">
        <f>VLOOKUP(Q57,Regolamento!G$6:I$14,3,0)</f>
        <v>1</v>
      </c>
      <c r="T57" s="63">
        <f>+R57*O57</f>
        <v>24.799499999999998</v>
      </c>
      <c r="U57" s="2"/>
    </row>
    <row r="58" spans="1:21" x14ac:dyDescent="0.25">
      <c r="A58">
        <v>54</v>
      </c>
      <c r="B58" t="s">
        <v>192</v>
      </c>
      <c r="C58" s="12" t="str">
        <f>IFERROR(VLOOKUP(B58,concorrenti!A:C,3,0)," ")</f>
        <v>C</v>
      </c>
      <c r="D58" s="12">
        <f>VLOOKUP(B58,concorrenti!A:E,5,0)</f>
        <v>0</v>
      </c>
      <c r="E58" s="12" t="str">
        <f>VLOOKUP(B58,concorrenti!A$1:G$301,2,0)</f>
        <v>CASTELLOTTI</v>
      </c>
      <c r="F58" s="50">
        <f>IFERROR(VLOOKUP(B58,'Nora Sciplino'!A$12:O$58,15,0),0)</f>
        <v>0</v>
      </c>
      <c r="G58" s="80">
        <f>IFERROR(VLOOKUP(B58,Castellotti!A$12:O$66,15,0),0)</f>
        <v>21.944999999999997</v>
      </c>
      <c r="H58" s="50">
        <f>IFERROR(VLOOKUP(B58,Solidarietà!A:O,14,0),0)</f>
        <v>0</v>
      </c>
      <c r="I58" s="50">
        <v>0</v>
      </c>
      <c r="J58" s="50">
        <v>0</v>
      </c>
      <c r="K58" s="50"/>
      <c r="L58" s="50"/>
      <c r="M58" s="50">
        <v>0</v>
      </c>
      <c r="N58" s="4"/>
      <c r="O58" s="63">
        <f>SUM(F58:N58)</f>
        <v>21.944999999999997</v>
      </c>
      <c r="Q58" s="59">
        <v>1</v>
      </c>
      <c r="R58" s="60">
        <f>VLOOKUP(Q58,Regolamento!G$6:I$14,3,0)</f>
        <v>1</v>
      </c>
      <c r="T58" s="63">
        <f>+R58*O58</f>
        <v>21.944999999999997</v>
      </c>
      <c r="U58" s="2"/>
    </row>
    <row r="59" spans="1:21" x14ac:dyDescent="0.25">
      <c r="A59">
        <v>55</v>
      </c>
      <c r="B59" s="8" t="s">
        <v>26</v>
      </c>
      <c r="C59" s="12" t="str">
        <f>IFERROR(VLOOKUP(B59,concorrenti!A:C,3,0)," ")</f>
        <v>C</v>
      </c>
      <c r="D59" s="12">
        <f>VLOOKUP(B59,concorrenti!A:E,5,0)</f>
        <v>0</v>
      </c>
      <c r="E59" s="12" t="str">
        <f>VLOOKUP(B59,concorrenti!A$1:G$301,2,0)</f>
        <v>VAMS</v>
      </c>
      <c r="F59" s="50">
        <f>IFERROR(VLOOKUP(B59,'Nora Sciplino'!A$12:O$58,15,0),0)</f>
        <v>19.288499999999999</v>
      </c>
      <c r="G59" s="80">
        <f>IFERROR(VLOOKUP(B59,Castellotti!A$12:O$66,15,0),0)</f>
        <v>0</v>
      </c>
      <c r="H59" s="50">
        <f>IFERROR(VLOOKUP(B59,Solidarietà!A:O,14,0),0)</f>
        <v>0</v>
      </c>
      <c r="I59" s="50">
        <v>0</v>
      </c>
      <c r="J59" s="50">
        <v>0</v>
      </c>
      <c r="K59" s="50"/>
      <c r="L59" s="50"/>
      <c r="M59" s="50">
        <v>0</v>
      </c>
      <c r="N59" s="4"/>
      <c r="O59" s="63">
        <f>SUM(F59:N59)</f>
        <v>19.288499999999999</v>
      </c>
      <c r="Q59" s="59">
        <v>1</v>
      </c>
      <c r="R59" s="60">
        <f>VLOOKUP(Q59,Regolamento!G$6:I$14,3,0)</f>
        <v>1</v>
      </c>
      <c r="T59" s="63">
        <f>+R59*O59</f>
        <v>19.288499999999999</v>
      </c>
      <c r="U59" s="2"/>
    </row>
    <row r="60" spans="1:21" x14ac:dyDescent="0.25">
      <c r="A60">
        <v>56</v>
      </c>
      <c r="B60" t="s">
        <v>203</v>
      </c>
      <c r="C60" s="12" t="str">
        <f>IFERROR(VLOOKUP(B60,concorrenti!A:C,3,0)," ")</f>
        <v>C</v>
      </c>
      <c r="D60" s="12">
        <f>VLOOKUP(B60,concorrenti!A:E,5,0)</f>
        <v>0</v>
      </c>
      <c r="E60" s="12" t="str">
        <f>VLOOKUP(B60,concorrenti!A$1:G$301,2,0)</f>
        <v>CASTELLOTTI</v>
      </c>
      <c r="F60" s="50">
        <f>IFERROR(VLOOKUP(B60,'Nora Sciplino'!A$12:O$58,15,0),0)</f>
        <v>0</v>
      </c>
      <c r="G60" s="80">
        <f>IFERROR(VLOOKUP(B60,Castellotti!A$12:O$66,15,0),0)</f>
        <v>18.809999999999995</v>
      </c>
      <c r="H60" s="50">
        <f>IFERROR(VLOOKUP(B60,Solidarietà!A:O,14,0),0)</f>
        <v>0</v>
      </c>
      <c r="I60" s="50">
        <v>0</v>
      </c>
      <c r="J60" s="50">
        <v>0</v>
      </c>
      <c r="K60" s="50"/>
      <c r="L60" s="50"/>
      <c r="M60" s="50">
        <v>0</v>
      </c>
      <c r="N60" s="4"/>
      <c r="O60" s="63">
        <f>SUM(F60:N60)</f>
        <v>18.809999999999995</v>
      </c>
      <c r="Q60" s="59">
        <v>1</v>
      </c>
      <c r="R60" s="60">
        <f>VLOOKUP(Q60,Regolamento!G$6:I$14,3,0)</f>
        <v>1</v>
      </c>
      <c r="T60" s="63">
        <f>+R60*O60</f>
        <v>18.809999999999995</v>
      </c>
      <c r="U60" s="2"/>
    </row>
    <row r="61" spans="1:21" x14ac:dyDescent="0.25">
      <c r="A61">
        <v>57</v>
      </c>
      <c r="B61" t="s">
        <v>228</v>
      </c>
      <c r="C61" s="12" t="str">
        <f>IFERROR(VLOOKUP(B61,concorrenti!A:C,3,0)," ")</f>
        <v>C</v>
      </c>
      <c r="D61" s="12">
        <f>VLOOKUP(B61,concorrenti!A:E,5,0)</f>
        <v>0</v>
      </c>
      <c r="E61" s="12" t="str">
        <f>VLOOKUP(B61,concorrenti!A$1:G$301,2,0)</f>
        <v>VCC COMO</v>
      </c>
      <c r="F61" s="50">
        <f>IFERROR(VLOOKUP(B61,'Nora Sciplino'!A$12:O$58,15,0),0)</f>
        <v>0</v>
      </c>
      <c r="G61" s="80">
        <f>IFERROR(VLOOKUP(B61,Castellotti!A$12:O$66,15,0),0)</f>
        <v>15.674999999999999</v>
      </c>
      <c r="H61" s="50">
        <f>IFERROR(VLOOKUP(B61,Solidarietà!A:O,14,0),0)</f>
        <v>0</v>
      </c>
      <c r="I61" s="50">
        <v>0</v>
      </c>
      <c r="J61" s="50">
        <v>0</v>
      </c>
      <c r="K61" s="50"/>
      <c r="L61" s="50"/>
      <c r="M61" s="50">
        <v>0</v>
      </c>
      <c r="O61" s="63">
        <f>SUM(F61:N61)</f>
        <v>15.674999999999999</v>
      </c>
      <c r="Q61" s="59">
        <v>1</v>
      </c>
      <c r="R61" s="60">
        <f>VLOOKUP(Q61,Regolamento!G$6:I$14,3,0)</f>
        <v>1</v>
      </c>
      <c r="T61" s="63">
        <f>+R61*O61</f>
        <v>15.674999999999999</v>
      </c>
      <c r="U61" s="2"/>
    </row>
    <row r="62" spans="1:21" x14ac:dyDescent="0.25">
      <c r="A62">
        <v>58</v>
      </c>
      <c r="B62" s="8" t="s">
        <v>84</v>
      </c>
      <c r="C62" s="12" t="str">
        <f>IFERROR(VLOOKUP(B62,concorrenti!A:C,3,0)," ")</f>
        <v>C</v>
      </c>
      <c r="D62" s="12">
        <f>VLOOKUP(B62,concorrenti!A:E,5,0)</f>
        <v>0</v>
      </c>
      <c r="E62" s="12" t="str">
        <f>VLOOKUP(B62,concorrenti!A$1:G$301,2,0)</f>
        <v>CASTELLOTTI</v>
      </c>
      <c r="F62" s="50">
        <f>IFERROR(VLOOKUP(B62,'Nora Sciplino'!A$12:O$58,15,0),0)</f>
        <v>11.021999999999998</v>
      </c>
      <c r="G62" s="80">
        <f>IFERROR(VLOOKUP(B62,Castellotti!A$12:O$66,15,0),0)</f>
        <v>1.5674999999999999</v>
      </c>
      <c r="H62" s="50">
        <f>IFERROR(VLOOKUP(B62,Solidarietà!A:O,14,0),0)</f>
        <v>0</v>
      </c>
      <c r="I62" s="50">
        <v>0</v>
      </c>
      <c r="J62" s="50">
        <v>0</v>
      </c>
      <c r="K62" s="50"/>
      <c r="L62" s="50"/>
      <c r="M62" s="50">
        <v>0</v>
      </c>
      <c r="N62" s="4"/>
      <c r="O62" s="63">
        <f>SUM(F62:N62)</f>
        <v>12.589499999999997</v>
      </c>
      <c r="Q62" s="59">
        <v>2</v>
      </c>
      <c r="R62" s="60">
        <f>VLOOKUP(Q62,Regolamento!G$6:I$14,3,0)</f>
        <v>1.05</v>
      </c>
      <c r="T62" s="63">
        <f>+R62*O62</f>
        <v>13.218974999999999</v>
      </c>
      <c r="U62" s="2"/>
    </row>
    <row r="63" spans="1:21" x14ac:dyDescent="0.25">
      <c r="A63">
        <v>59</v>
      </c>
      <c r="B63" t="s">
        <v>229</v>
      </c>
      <c r="C63" s="12" t="str">
        <f>IFERROR(VLOOKUP(B63,concorrenti!A:C,3,0)," ")</f>
        <v>C</v>
      </c>
      <c r="D63" s="12">
        <f>VLOOKUP(B63,concorrenti!A:E,5,0)</f>
        <v>0</v>
      </c>
      <c r="E63" s="12" t="str">
        <f>VLOOKUP(B63,concorrenti!A$1:G$301,2,0)</f>
        <v>VALTELLINA</v>
      </c>
      <c r="F63" s="50">
        <f>IFERROR(VLOOKUP(B63,'Nora Sciplino'!A$12:O$58,15,0),0)</f>
        <v>0</v>
      </c>
      <c r="G63" s="80">
        <f>IFERROR(VLOOKUP(B63,Castellotti!A$12:O$66,15,0),0)</f>
        <v>12.54</v>
      </c>
      <c r="H63" s="50">
        <f>IFERROR(VLOOKUP(B63,Solidarietà!A:O,14,0),0)</f>
        <v>0</v>
      </c>
      <c r="I63" s="50">
        <v>0</v>
      </c>
      <c r="J63" s="50">
        <v>0</v>
      </c>
      <c r="K63" s="50"/>
      <c r="L63" s="50"/>
      <c r="M63" s="50">
        <v>0</v>
      </c>
      <c r="N63" s="4"/>
      <c r="O63" s="63">
        <f>SUM(F63:N63)</f>
        <v>12.54</v>
      </c>
      <c r="Q63" s="59">
        <v>1</v>
      </c>
      <c r="R63" s="60">
        <f>VLOOKUP(Q63,Regolamento!G$6:I$14,3,0)</f>
        <v>1</v>
      </c>
      <c r="T63" s="63">
        <f>+R63*O63</f>
        <v>12.54</v>
      </c>
      <c r="U63" s="2"/>
    </row>
    <row r="64" spans="1:21" x14ac:dyDescent="0.25">
      <c r="A64">
        <v>60</v>
      </c>
      <c r="B64" t="s">
        <v>189</v>
      </c>
      <c r="C64" s="12" t="str">
        <f>IFERROR(VLOOKUP(B64,concorrenti!A:C,3,0)," ")</f>
        <v>C</v>
      </c>
      <c r="D64" s="12">
        <f>VLOOKUP(B64,concorrenti!A:E,5,0)</f>
        <v>0</v>
      </c>
      <c r="E64" s="12" t="str">
        <f>VLOOKUP(B64,concorrenti!A$1:G$301,2,0)</f>
        <v>CASTELLOTTI</v>
      </c>
      <c r="F64" s="50">
        <f>IFERROR(VLOOKUP(B64,'Nora Sciplino'!A$12:O$58,15,0),0)</f>
        <v>0</v>
      </c>
      <c r="G64" s="80">
        <f>IFERROR(VLOOKUP(B64,Castellotti!A$12:O$66,15,0),0)</f>
        <v>9.4049999999999976</v>
      </c>
      <c r="H64" s="50">
        <f>IFERROR(VLOOKUP(B64,Solidarietà!A:O,14,0),0)</f>
        <v>0</v>
      </c>
      <c r="I64" s="50">
        <v>0</v>
      </c>
      <c r="J64" s="50">
        <v>0</v>
      </c>
      <c r="K64" s="50"/>
      <c r="L64" s="50"/>
      <c r="M64" s="50">
        <v>0</v>
      </c>
      <c r="N64" s="4"/>
      <c r="O64" s="63">
        <f>SUM(F64:N64)</f>
        <v>9.4049999999999976</v>
      </c>
      <c r="Q64" s="59">
        <v>1</v>
      </c>
      <c r="R64" s="60">
        <f>VLOOKUP(Q64,Regolamento!G$6:I$14,3,0)</f>
        <v>1</v>
      </c>
      <c r="T64" s="63">
        <f>+R64*O64</f>
        <v>9.4049999999999976</v>
      </c>
      <c r="U64" s="2"/>
    </row>
    <row r="65" spans="1:21" x14ac:dyDescent="0.25">
      <c r="A65">
        <v>61</v>
      </c>
      <c r="B65" t="s">
        <v>195</v>
      </c>
      <c r="C65" s="12" t="str">
        <f>IFERROR(VLOOKUP(B65,concorrenti!A:C,3,0)," ")</f>
        <v>C</v>
      </c>
      <c r="D65" s="12">
        <f>VLOOKUP(B65,concorrenti!A:E,5,0)</f>
        <v>0</v>
      </c>
      <c r="E65" s="12" t="str">
        <f>VLOOKUP(B65,concorrenti!A$1:G$301,2,0)</f>
        <v>CASTELLOTTI</v>
      </c>
      <c r="F65" s="50">
        <f>IFERROR(VLOOKUP(B65,'Nora Sciplino'!A$12:O$58,15,0),0)</f>
        <v>0</v>
      </c>
      <c r="G65" s="80">
        <f>IFERROR(VLOOKUP(B65,Castellotti!A$12:O$66,15,0),0)</f>
        <v>6.27</v>
      </c>
      <c r="H65" s="50">
        <f>IFERROR(VLOOKUP(B65,Solidarietà!A:O,14,0),0)</f>
        <v>0</v>
      </c>
      <c r="I65" s="50">
        <v>0</v>
      </c>
      <c r="J65" s="50">
        <v>0</v>
      </c>
      <c r="K65" s="50"/>
      <c r="L65" s="50"/>
      <c r="M65" s="50">
        <v>0</v>
      </c>
      <c r="N65" s="4"/>
      <c r="O65" s="63">
        <f>SUM(F65:N65)</f>
        <v>6.27</v>
      </c>
      <c r="Q65" s="59">
        <v>1</v>
      </c>
      <c r="R65" s="60">
        <f>VLOOKUP(Q65,Regolamento!G$6:I$14,3,0)</f>
        <v>1</v>
      </c>
      <c r="T65" s="63">
        <f>+R65*O65</f>
        <v>6.27</v>
      </c>
      <c r="U65" s="2"/>
    </row>
    <row r="66" spans="1:21" x14ac:dyDescent="0.25">
      <c r="A66">
        <v>62</v>
      </c>
      <c r="B66" t="s">
        <v>227</v>
      </c>
      <c r="C66" s="12" t="str">
        <f>IFERROR(VLOOKUP(B66,concorrenti!A:C,3,0)," ")</f>
        <v>B</v>
      </c>
      <c r="D66" s="12" t="str">
        <f>VLOOKUP(B66,concorrenti!A:E,5,0)</f>
        <v>X</v>
      </c>
      <c r="E66" s="12" t="str">
        <f>VLOOKUP(B66,concorrenti!A$1:G$301,2,0)</f>
        <v>VCC COMO</v>
      </c>
      <c r="F66" s="50">
        <f>IFERROR(VLOOKUP(B66,'Nora Sciplino'!A$12:O$58,15,0),0)</f>
        <v>0</v>
      </c>
      <c r="G66" s="80">
        <f>IFERROR(VLOOKUP(B66,Castellotti!A$12:O$66,15,0),0)</f>
        <v>3.1349999999999998</v>
      </c>
      <c r="H66" s="50">
        <f>IFERROR(VLOOKUP(B66,Solidarietà!A:O,14,0),0)</f>
        <v>0</v>
      </c>
      <c r="I66" s="50">
        <v>0</v>
      </c>
      <c r="J66" s="50">
        <v>0</v>
      </c>
      <c r="K66" s="50"/>
      <c r="L66" s="50"/>
      <c r="M66" s="50">
        <v>0</v>
      </c>
      <c r="O66" s="63">
        <f>SUM(F66:N66)</f>
        <v>3.1349999999999998</v>
      </c>
      <c r="Q66" s="59">
        <v>1</v>
      </c>
      <c r="R66" s="60">
        <f>VLOOKUP(Q66,Regolamento!G$6:I$14,3,0)</f>
        <v>1</v>
      </c>
      <c r="T66" s="63">
        <f>+R66*O66</f>
        <v>3.1349999999999998</v>
      </c>
      <c r="U66" s="2"/>
    </row>
    <row r="67" spans="1:21" x14ac:dyDescent="0.25">
      <c r="A67">
        <v>63</v>
      </c>
      <c r="B67" s="8" t="s">
        <v>91</v>
      </c>
      <c r="C67" s="12" t="str">
        <f>IFERROR(VLOOKUP(B67,concorrenti!A:C,3,0)," ")</f>
        <v>C</v>
      </c>
      <c r="D67" s="12">
        <f>VLOOKUP(B67,concorrenti!A:E,5,0)</f>
        <v>0</v>
      </c>
      <c r="E67" s="12" t="str">
        <f>VLOOKUP(B67,concorrenti!A$1:G$301,2,0)</f>
        <v>CASTELLOTTI</v>
      </c>
      <c r="F67" s="50">
        <f>IFERROR(VLOOKUP(B67,'Nora Sciplino'!A$12:O$58,15,0),0)</f>
        <v>1.3777499999999998</v>
      </c>
      <c r="G67" s="80">
        <f>IFERROR(VLOOKUP(B67,Castellotti!A$12:O$66,15,0),0)</f>
        <v>1.5674999999999999</v>
      </c>
      <c r="H67" s="50">
        <f>IFERROR(VLOOKUP(B67,Solidarietà!A:O,14,0),0)</f>
        <v>0</v>
      </c>
      <c r="I67" s="50">
        <v>0</v>
      </c>
      <c r="J67" s="50">
        <v>0</v>
      </c>
      <c r="K67" s="50"/>
      <c r="L67" s="50"/>
      <c r="M67" s="50">
        <v>0</v>
      </c>
      <c r="N67" s="4"/>
      <c r="O67" s="63">
        <f>SUM(F67:N67)</f>
        <v>2.9452499999999997</v>
      </c>
      <c r="Q67" s="59">
        <v>2</v>
      </c>
      <c r="R67" s="60">
        <f>VLOOKUP(Q67,Regolamento!G$6:I$14,3,0)</f>
        <v>1.05</v>
      </c>
      <c r="T67" s="63">
        <f>+R67*O67</f>
        <v>3.0925124999999998</v>
      </c>
      <c r="U67" s="2"/>
    </row>
    <row r="68" spans="1:21" x14ac:dyDescent="0.25">
      <c r="A68">
        <v>64</v>
      </c>
      <c r="B68" s="8" t="s">
        <v>300</v>
      </c>
      <c r="C68" s="12" t="str">
        <f>IFERROR(VLOOKUP(B68,concorrenti!A:C,3,0)," ")</f>
        <v>C</v>
      </c>
      <c r="D68" s="12">
        <f>VLOOKUP(B68,concorrenti!A:E,5,0)</f>
        <v>0</v>
      </c>
      <c r="E68" s="12" t="str">
        <f>VLOOKUP(B68,concorrenti!A$1:G$301,2,0)</f>
        <v>CMAE</v>
      </c>
      <c r="F68" s="50">
        <f>IFERROR(VLOOKUP(B68,'Nora Sciplino'!A$12:O$58,15,0),0)</f>
        <v>2.7554999999999996</v>
      </c>
      <c r="G68" s="80">
        <f>IFERROR(VLOOKUP(B68,Castellotti!A$12:O$66,15,0),0)</f>
        <v>0</v>
      </c>
      <c r="H68" s="50">
        <f>IFERROR(VLOOKUP(B68,Solidarietà!A:O,14,0),0)</f>
        <v>0</v>
      </c>
      <c r="I68" s="50">
        <v>0</v>
      </c>
      <c r="J68" s="50">
        <v>0</v>
      </c>
      <c r="K68" s="50"/>
      <c r="L68" s="50"/>
      <c r="M68" s="50">
        <v>0</v>
      </c>
      <c r="N68" s="4"/>
      <c r="O68" s="63">
        <f>SUM(F68:N68)</f>
        <v>2.7554999999999996</v>
      </c>
      <c r="Q68" s="59">
        <v>1</v>
      </c>
      <c r="R68" s="60">
        <f>VLOOKUP(Q68,Regolamento!G$6:I$14,3,0)</f>
        <v>1</v>
      </c>
      <c r="T68" s="63">
        <f>+R68*O68</f>
        <v>2.7554999999999996</v>
      </c>
      <c r="U68" s="2"/>
    </row>
    <row r="69" spans="1:21" x14ac:dyDescent="0.25">
      <c r="A69">
        <v>65</v>
      </c>
      <c r="B69" t="s">
        <v>217</v>
      </c>
      <c r="C69" s="12" t="str">
        <f>IFERROR(VLOOKUP(B69,concorrenti!A:C,3,0)," ")</f>
        <v>C</v>
      </c>
      <c r="D69" s="12">
        <f>VLOOKUP(B69,concorrenti!A:E,5,0)</f>
        <v>0</v>
      </c>
      <c r="E69" s="12" t="str">
        <f>VLOOKUP(B69,concorrenti!A$1:G$301,2,0)</f>
        <v>CLASSIC CLUB ITALIA</v>
      </c>
      <c r="F69" s="50">
        <f>IFERROR(VLOOKUP(B69,'Nora Sciplino'!A$12:O$58,15,0),0)</f>
        <v>0</v>
      </c>
      <c r="G69" s="80">
        <f>IFERROR(VLOOKUP(B69,Castellotti!A$12:O$66,15,0),0)</f>
        <v>1.5674999999999999</v>
      </c>
      <c r="H69" s="50">
        <f>IFERROR(VLOOKUP(B69,Solidarietà!A:O,14,0),0)</f>
        <v>0</v>
      </c>
      <c r="I69" s="50">
        <v>0</v>
      </c>
      <c r="J69" s="50">
        <v>0</v>
      </c>
      <c r="K69" s="50"/>
      <c r="L69" s="50"/>
      <c r="M69" s="50">
        <v>0</v>
      </c>
      <c r="O69" s="63">
        <f>SUM(F69:N69)</f>
        <v>1.5674999999999999</v>
      </c>
      <c r="Q69" s="59">
        <v>1</v>
      </c>
      <c r="R69" s="60">
        <f>VLOOKUP(Q69,Regolamento!G$6:I$14,3,0)</f>
        <v>1</v>
      </c>
      <c r="T69" s="63">
        <f>+R69*O69</f>
        <v>1.5674999999999999</v>
      </c>
      <c r="U69" s="2"/>
    </row>
    <row r="70" spans="1:21" x14ac:dyDescent="0.25">
      <c r="A70">
        <v>66</v>
      </c>
      <c r="B70" t="s">
        <v>202</v>
      </c>
      <c r="C70" s="12" t="str">
        <f>IFERROR(VLOOKUP(B70,concorrenti!A:C,3,0)," ")</f>
        <v>C</v>
      </c>
      <c r="D70" s="12">
        <f>VLOOKUP(B70,concorrenti!A:E,5,0)</f>
        <v>0</v>
      </c>
      <c r="E70" s="12" t="str">
        <f>VLOOKUP(B70,concorrenti!A$1:G$301,2,0)</f>
        <v>CASTELLOTTI</v>
      </c>
      <c r="F70" s="50">
        <f>IFERROR(VLOOKUP(B70,'Nora Sciplino'!A$12:O$58,15,0),0)</f>
        <v>0</v>
      </c>
      <c r="G70" s="80">
        <f>IFERROR(VLOOKUP(B70,Castellotti!A$12:O$66,15,0),0)</f>
        <v>1.5674999999999999</v>
      </c>
      <c r="H70" s="50">
        <f>IFERROR(VLOOKUP(B70,Solidarietà!A:O,14,0),0)</f>
        <v>0</v>
      </c>
      <c r="I70" s="50">
        <v>0</v>
      </c>
      <c r="J70" s="50">
        <v>0</v>
      </c>
      <c r="K70" s="50"/>
      <c r="L70" s="50"/>
      <c r="M70" s="50">
        <v>0</v>
      </c>
      <c r="O70" s="63">
        <f>SUM(F70:N70)</f>
        <v>1.5674999999999999</v>
      </c>
      <c r="Q70" s="59">
        <v>1</v>
      </c>
      <c r="R70" s="60">
        <f>VLOOKUP(Q70,Regolamento!G$6:I$14,3,0)</f>
        <v>1</v>
      </c>
      <c r="T70" s="63">
        <f>+R70*O70</f>
        <v>1.5674999999999999</v>
      </c>
      <c r="U70" s="2"/>
    </row>
    <row r="71" spans="1:21" x14ac:dyDescent="0.25">
      <c r="A71">
        <v>67</v>
      </c>
      <c r="B71" t="s">
        <v>222</v>
      </c>
      <c r="C71" s="12" t="str">
        <f>IFERROR(VLOOKUP(B71,concorrenti!A:C,3,0)," ")</f>
        <v>B</v>
      </c>
      <c r="D71" s="12">
        <f>VLOOKUP(B71,concorrenti!A:E,5,0)</f>
        <v>0</v>
      </c>
      <c r="E71" s="12" t="str">
        <f>VLOOKUP(B71,concorrenti!A$1:G$301,2,0)</f>
        <v>VAMS</v>
      </c>
      <c r="F71" s="50">
        <f>IFERROR(VLOOKUP(B71,'Nora Sciplino'!A$12:O$58,15,0),0)</f>
        <v>0</v>
      </c>
      <c r="G71" s="80">
        <f>IFERROR(VLOOKUP(B71,Castellotti!A$12:O$66,15,0),0)</f>
        <v>1.5674999999999999</v>
      </c>
      <c r="H71" s="50">
        <f>IFERROR(VLOOKUP(B71,Solidarietà!A:O,14,0),0)</f>
        <v>0</v>
      </c>
      <c r="I71" s="50">
        <v>0</v>
      </c>
      <c r="J71" s="50">
        <v>0</v>
      </c>
      <c r="K71" s="50"/>
      <c r="L71" s="50"/>
      <c r="M71" s="50">
        <v>0</v>
      </c>
      <c r="N71" s="4"/>
      <c r="O71" s="63">
        <f>SUM(F71:N71)</f>
        <v>1.5674999999999999</v>
      </c>
      <c r="Q71" s="59">
        <v>1</v>
      </c>
      <c r="R71" s="60">
        <f>VLOOKUP(Q71,Regolamento!G$6:I$14,3,0)</f>
        <v>1</v>
      </c>
      <c r="T71" s="63">
        <f>+R71*O71</f>
        <v>1.5674999999999999</v>
      </c>
      <c r="U71" s="2"/>
    </row>
    <row r="72" spans="1:21" x14ac:dyDescent="0.25">
      <c r="A72">
        <v>68</v>
      </c>
      <c r="B72" t="s">
        <v>216</v>
      </c>
      <c r="C72" s="12" t="str">
        <f>IFERROR(VLOOKUP(B72,concorrenti!A:C,3,0)," ")</f>
        <v>C</v>
      </c>
      <c r="D72" s="12">
        <f>VLOOKUP(B72,concorrenti!A:E,5,0)</f>
        <v>0</v>
      </c>
      <c r="E72" s="12" t="str">
        <f>VLOOKUP(B72,concorrenti!A$1:G$301,2,0)</f>
        <v>CLASSIC CLUB ITALIA</v>
      </c>
      <c r="F72" s="50">
        <f>IFERROR(VLOOKUP(B72,'Nora Sciplino'!A$12:O$58,15,0),0)</f>
        <v>0</v>
      </c>
      <c r="G72" s="80">
        <f>IFERROR(VLOOKUP(B72,Castellotti!A$12:O$66,15,0),0)</f>
        <v>1.5674999999999999</v>
      </c>
      <c r="H72" s="50">
        <f>IFERROR(VLOOKUP(B72,Solidarietà!A:O,14,0),0)</f>
        <v>0</v>
      </c>
      <c r="I72" s="50">
        <v>0</v>
      </c>
      <c r="J72" s="50">
        <v>0</v>
      </c>
      <c r="K72" s="50"/>
      <c r="L72" s="50"/>
      <c r="M72" s="50">
        <v>0</v>
      </c>
      <c r="N72" s="4"/>
      <c r="O72" s="63">
        <f>SUM(F72:N72)</f>
        <v>1.5674999999999999</v>
      </c>
      <c r="Q72" s="59">
        <v>1</v>
      </c>
      <c r="R72" s="60">
        <f>VLOOKUP(Q72,Regolamento!G$6:I$14,3,0)</f>
        <v>1</v>
      </c>
      <c r="T72" s="63">
        <f>+R72*O72</f>
        <v>1.5674999999999999</v>
      </c>
      <c r="U72" s="2"/>
    </row>
    <row r="73" spans="1:21" x14ac:dyDescent="0.25">
      <c r="A73">
        <v>69</v>
      </c>
      <c r="B73" t="s">
        <v>194</v>
      </c>
      <c r="C73" s="12" t="str">
        <f>IFERROR(VLOOKUP(B73,concorrenti!A:C,3,0)," ")</f>
        <v>C</v>
      </c>
      <c r="D73" s="12" t="str">
        <f>VLOOKUP(B73,concorrenti!A:E,5,0)</f>
        <v>X</v>
      </c>
      <c r="E73" s="12" t="str">
        <f>VLOOKUP(B73,concorrenti!A$1:G$301,2,0)</f>
        <v>CASTELLOTTI</v>
      </c>
      <c r="F73" s="50">
        <f>IFERROR(VLOOKUP(B73,'Nora Sciplino'!A$12:O$58,15,0),0)</f>
        <v>0</v>
      </c>
      <c r="G73" s="80">
        <f>IFERROR(VLOOKUP(B73,Castellotti!A$12:O$66,15,0),0)</f>
        <v>1.5674999999999999</v>
      </c>
      <c r="H73" s="50">
        <f>IFERROR(VLOOKUP(B73,Solidarietà!A:O,14,0),0)</f>
        <v>0</v>
      </c>
      <c r="I73" s="50">
        <v>0</v>
      </c>
      <c r="J73" s="50">
        <v>0</v>
      </c>
      <c r="K73" s="50"/>
      <c r="L73" s="50"/>
      <c r="M73" s="50">
        <v>0</v>
      </c>
      <c r="O73" s="63">
        <f>SUM(F73:N73)</f>
        <v>1.5674999999999999</v>
      </c>
      <c r="Q73" s="59">
        <v>1</v>
      </c>
      <c r="R73" s="60">
        <f>VLOOKUP(Q73,Regolamento!G$6:I$14,3,0)</f>
        <v>1</v>
      </c>
      <c r="T73" s="63">
        <f>+R73*O73</f>
        <v>1.5674999999999999</v>
      </c>
      <c r="U73" s="2"/>
    </row>
    <row r="74" spans="1:21" x14ac:dyDescent="0.25">
      <c r="A74">
        <v>70</v>
      </c>
      <c r="B74" t="s">
        <v>197</v>
      </c>
      <c r="C74" s="12" t="str">
        <f>IFERROR(VLOOKUP(B74,concorrenti!A:C,3,0)," ")</f>
        <v>C</v>
      </c>
      <c r="D74" s="12">
        <f>VLOOKUP(B74,concorrenti!A:E,5,0)</f>
        <v>0</v>
      </c>
      <c r="E74" s="12" t="str">
        <f>VLOOKUP(B74,concorrenti!A$1:G$301,2,0)</f>
        <v>CASTELLOTTI</v>
      </c>
      <c r="F74" s="50">
        <f>IFERROR(VLOOKUP(B74,'Nora Sciplino'!A$12:O$58,15,0),0)</f>
        <v>0</v>
      </c>
      <c r="G74" s="80">
        <f>IFERROR(VLOOKUP(B74,Castellotti!A$12:O$66,15,0),0)</f>
        <v>1.5674999999999999</v>
      </c>
      <c r="H74" s="50">
        <f>IFERROR(VLOOKUP(B74,Solidarietà!A:O,14,0),0)</f>
        <v>0</v>
      </c>
      <c r="I74" s="50">
        <v>0</v>
      </c>
      <c r="J74" s="50">
        <v>0</v>
      </c>
      <c r="K74" s="50"/>
      <c r="L74" s="50"/>
      <c r="M74" s="50">
        <v>0</v>
      </c>
      <c r="N74" s="4"/>
      <c r="O74" s="63">
        <f>SUM(F74:N74)</f>
        <v>1.5674999999999999</v>
      </c>
      <c r="Q74" s="59">
        <v>1</v>
      </c>
      <c r="R74" s="60">
        <f>VLOOKUP(Q74,Regolamento!G$6:I$14,3,0)</f>
        <v>1</v>
      </c>
      <c r="T74" s="63">
        <f>+R74*O74</f>
        <v>1.5674999999999999</v>
      </c>
      <c r="U74" s="2"/>
    </row>
    <row r="75" spans="1:21" x14ac:dyDescent="0.25">
      <c r="A75">
        <v>71</v>
      </c>
      <c r="B75" t="s">
        <v>201</v>
      </c>
      <c r="C75" s="12" t="str">
        <f>IFERROR(VLOOKUP(B75,concorrenti!A:C,3,0)," ")</f>
        <v>C</v>
      </c>
      <c r="D75" s="12" t="str">
        <f>VLOOKUP(B75,concorrenti!A:E,5,0)</f>
        <v>X</v>
      </c>
      <c r="E75" s="12" t="str">
        <f>VLOOKUP(B75,concorrenti!A$1:G$301,2,0)</f>
        <v>CASTELLOTTI</v>
      </c>
      <c r="F75" s="50">
        <f>IFERROR(VLOOKUP(B75,'Nora Sciplino'!A$12:O$58,15,0),0)</f>
        <v>0</v>
      </c>
      <c r="G75" s="80">
        <f>IFERROR(VLOOKUP(B75,Castellotti!A$12:O$66,15,0),0)</f>
        <v>1.5674999999999999</v>
      </c>
      <c r="H75" s="50">
        <f>IFERROR(VLOOKUP(B75,Solidarietà!A:O,14,0),0)</f>
        <v>0</v>
      </c>
      <c r="I75" s="50">
        <v>0</v>
      </c>
      <c r="J75" s="50">
        <v>0</v>
      </c>
      <c r="K75" s="50"/>
      <c r="L75" s="50"/>
      <c r="M75" s="50">
        <v>0</v>
      </c>
      <c r="N75" s="4"/>
      <c r="O75" s="63">
        <f>SUM(F75:N75)</f>
        <v>1.5674999999999999</v>
      </c>
      <c r="Q75" s="59">
        <v>1</v>
      </c>
      <c r="R75" s="60">
        <f>VLOOKUP(Q75,Regolamento!G$6:I$14,3,0)</f>
        <v>1</v>
      </c>
      <c r="T75" s="63">
        <f>+R75*O75</f>
        <v>1.5674999999999999</v>
      </c>
      <c r="U75" s="2"/>
    </row>
    <row r="76" spans="1:21" x14ac:dyDescent="0.25">
      <c r="A76">
        <v>72</v>
      </c>
      <c r="B76" t="s">
        <v>200</v>
      </c>
      <c r="C76" s="12" t="str">
        <f>IFERROR(VLOOKUP(B76,concorrenti!A:C,3,0)," ")</f>
        <v>C</v>
      </c>
      <c r="D76" s="12">
        <f>VLOOKUP(B76,concorrenti!A:E,5,0)</f>
        <v>0</v>
      </c>
      <c r="E76" s="12" t="str">
        <f>VLOOKUP(B76,concorrenti!A$1:G$301,2,0)</f>
        <v>CASTELLOTTI</v>
      </c>
      <c r="F76" s="50">
        <f>IFERROR(VLOOKUP(B76,'Nora Sciplino'!A$12:O$58,15,0),0)</f>
        <v>0</v>
      </c>
      <c r="G76" s="80">
        <f>IFERROR(VLOOKUP(B76,Castellotti!A$12:O$66,15,0),0)</f>
        <v>1.5674999999999999</v>
      </c>
      <c r="H76" s="50">
        <f>IFERROR(VLOOKUP(B76,Solidarietà!A:O,14,0),0)</f>
        <v>0</v>
      </c>
      <c r="I76" s="50">
        <v>0</v>
      </c>
      <c r="J76" s="50">
        <v>0</v>
      </c>
      <c r="K76" s="50"/>
      <c r="L76" s="50"/>
      <c r="M76" s="50">
        <v>0</v>
      </c>
      <c r="O76" s="63">
        <f>SUM(F76:N76)</f>
        <v>1.5674999999999999</v>
      </c>
      <c r="Q76" s="59">
        <v>1</v>
      </c>
      <c r="R76" s="60">
        <f>VLOOKUP(Q76,Regolamento!G$6:I$14,3,0)</f>
        <v>1</v>
      </c>
      <c r="T76" s="63">
        <f>+R76*O76</f>
        <v>1.5674999999999999</v>
      </c>
      <c r="U76" s="2"/>
    </row>
    <row r="77" spans="1:21" x14ac:dyDescent="0.25">
      <c r="A77">
        <v>73</v>
      </c>
      <c r="B77" t="s">
        <v>213</v>
      </c>
      <c r="C77" s="12" t="str">
        <f>IFERROR(VLOOKUP(B77,concorrenti!A:C,3,0)," ")</f>
        <v>C</v>
      </c>
      <c r="D77" s="12">
        <f>VLOOKUP(B77,concorrenti!A:E,5,0)</f>
        <v>0</v>
      </c>
      <c r="E77" s="12" t="str">
        <f>VLOOKUP(B77,concorrenti!A$1:G$301,2,0)</f>
        <v>CAVEM</v>
      </c>
      <c r="F77" s="50">
        <f>IFERROR(VLOOKUP(B77,'Nora Sciplino'!A$12:O$58,15,0),0)</f>
        <v>0</v>
      </c>
      <c r="G77" s="80">
        <f>IFERROR(VLOOKUP(B77,Castellotti!A$12:O$66,15,0),0)</f>
        <v>1.5674999999999999</v>
      </c>
      <c r="H77" s="50">
        <f>IFERROR(VLOOKUP(B77,Solidarietà!A:O,14,0),0)</f>
        <v>0</v>
      </c>
      <c r="I77" s="50">
        <v>0</v>
      </c>
      <c r="J77" s="50">
        <v>0</v>
      </c>
      <c r="K77" s="50"/>
      <c r="L77" s="50"/>
      <c r="M77" s="50">
        <v>0</v>
      </c>
      <c r="N77" s="6"/>
      <c r="O77" s="63">
        <f>SUM(F77:N77)</f>
        <v>1.5674999999999999</v>
      </c>
      <c r="Q77" s="59">
        <v>1</v>
      </c>
      <c r="R77" s="60">
        <f>VLOOKUP(Q77,Regolamento!G$6:I$14,3,0)</f>
        <v>1</v>
      </c>
      <c r="T77" s="63">
        <f>+R77*O77</f>
        <v>1.5674999999999999</v>
      </c>
      <c r="U77" s="2"/>
    </row>
    <row r="78" spans="1:21" x14ac:dyDescent="0.25">
      <c r="A78">
        <v>74</v>
      </c>
      <c r="B78" t="s">
        <v>207</v>
      </c>
      <c r="C78" s="12" t="str">
        <f>IFERROR(VLOOKUP(B78,concorrenti!A:C,3,0)," ")</f>
        <v>C</v>
      </c>
      <c r="D78" s="12">
        <f>VLOOKUP(B78,concorrenti!A:E,5,0)</f>
        <v>0</v>
      </c>
      <c r="E78" s="12" t="str">
        <f>VLOOKUP(B78,concorrenti!A$1:G$301,2,0)</f>
        <v>CASTELLOTTI</v>
      </c>
      <c r="F78" s="50">
        <f>IFERROR(VLOOKUP(B78,'Nora Sciplino'!A$12:O$58,15,0),0)</f>
        <v>0</v>
      </c>
      <c r="G78" s="80">
        <f>IFERROR(VLOOKUP(B78,Castellotti!A$12:O$66,15,0),0)</f>
        <v>1.5674999999999999</v>
      </c>
      <c r="H78" s="50">
        <f>IFERROR(VLOOKUP(B78,Solidarietà!A:O,14,0),0)</f>
        <v>0</v>
      </c>
      <c r="I78" s="50">
        <v>0</v>
      </c>
      <c r="J78" s="50">
        <v>0</v>
      </c>
      <c r="K78" s="50"/>
      <c r="L78" s="50"/>
      <c r="M78" s="50">
        <v>0</v>
      </c>
      <c r="O78" s="63">
        <f>SUM(F78:N78)</f>
        <v>1.5674999999999999</v>
      </c>
      <c r="Q78" s="59">
        <v>1</v>
      </c>
      <c r="R78" s="60">
        <f>VLOOKUP(Q78,Regolamento!G$6:I$14,3,0)</f>
        <v>1</v>
      </c>
      <c r="T78" s="63">
        <f>+R78*O78</f>
        <v>1.5674999999999999</v>
      </c>
      <c r="U78" s="2"/>
    </row>
    <row r="79" spans="1:21" x14ac:dyDescent="0.25">
      <c r="A79">
        <v>75</v>
      </c>
      <c r="B79" t="s">
        <v>214</v>
      </c>
      <c r="C79" s="12" t="str">
        <f>IFERROR(VLOOKUP(B79,concorrenti!A:C,3,0)," ")</f>
        <v>C</v>
      </c>
      <c r="D79" s="12">
        <f>VLOOKUP(B79,concorrenti!A:E,5,0)</f>
        <v>0</v>
      </c>
      <c r="E79" s="12" t="str">
        <f>VLOOKUP(B79,concorrenti!A$1:G$301,2,0)</f>
        <v>CAVEM</v>
      </c>
      <c r="F79" s="50">
        <f>IFERROR(VLOOKUP(B79,'Nora Sciplino'!A$12:O$58,15,0),0)</f>
        <v>0</v>
      </c>
      <c r="G79" s="80">
        <f>IFERROR(VLOOKUP(B79,Castellotti!A$12:O$66,15,0),0)</f>
        <v>1.5674999999999999</v>
      </c>
      <c r="H79" s="50">
        <f>IFERROR(VLOOKUP(B79,Solidarietà!A:O,14,0),0)</f>
        <v>0</v>
      </c>
      <c r="I79" s="50">
        <v>0</v>
      </c>
      <c r="J79" s="50">
        <v>0</v>
      </c>
      <c r="K79" s="50"/>
      <c r="L79" s="50"/>
      <c r="M79" s="50">
        <v>0</v>
      </c>
      <c r="N79" s="4"/>
      <c r="O79" s="63">
        <f>SUM(F79:N79)</f>
        <v>1.5674999999999999</v>
      </c>
      <c r="Q79" s="59">
        <v>1</v>
      </c>
      <c r="R79" s="60">
        <f>VLOOKUP(Q79,Regolamento!G$6:I$14,3,0)</f>
        <v>1</v>
      </c>
      <c r="T79" s="63">
        <f>+R79*O79</f>
        <v>1.5674999999999999</v>
      </c>
      <c r="U79" s="2"/>
    </row>
    <row r="80" spans="1:21" x14ac:dyDescent="0.25">
      <c r="A80">
        <v>76</v>
      </c>
      <c r="B80" t="s">
        <v>204</v>
      </c>
      <c r="C80" s="12" t="str">
        <f>IFERROR(VLOOKUP(B80,concorrenti!A:C,3,0)," ")</f>
        <v>C</v>
      </c>
      <c r="D80" s="12">
        <f>VLOOKUP(B80,concorrenti!A:E,5,0)</f>
        <v>0</v>
      </c>
      <c r="E80" s="12" t="str">
        <f>VLOOKUP(B80,concorrenti!A$1:G$301,2,0)</f>
        <v>CASTELLOTTI</v>
      </c>
      <c r="F80" s="50">
        <f>IFERROR(VLOOKUP(B80,'Nora Sciplino'!A$12:O$58,15,0),0)</f>
        <v>0</v>
      </c>
      <c r="G80" s="80">
        <f>IFERROR(VLOOKUP(B80,Castellotti!A$12:O$66,15,0),0)</f>
        <v>1.5674999999999999</v>
      </c>
      <c r="H80" s="50">
        <f>IFERROR(VLOOKUP(B80,Solidarietà!A:O,14,0),0)</f>
        <v>0</v>
      </c>
      <c r="I80" s="50">
        <v>0</v>
      </c>
      <c r="J80" s="50">
        <v>0</v>
      </c>
      <c r="K80" s="50"/>
      <c r="L80" s="50"/>
      <c r="M80" s="50">
        <v>0</v>
      </c>
      <c r="N80" s="4"/>
      <c r="O80" s="63">
        <f>SUM(F80:N80)</f>
        <v>1.5674999999999999</v>
      </c>
      <c r="Q80" s="59">
        <v>1</v>
      </c>
      <c r="R80" s="60">
        <f>VLOOKUP(Q80,Regolamento!G$6:I$14,3,0)</f>
        <v>1</v>
      </c>
      <c r="T80" s="63">
        <f>+R80*O80</f>
        <v>1.5674999999999999</v>
      </c>
      <c r="U80" s="2"/>
    </row>
    <row r="81" spans="1:21" x14ac:dyDescent="0.25">
      <c r="A81">
        <v>77</v>
      </c>
      <c r="B81" t="s">
        <v>206</v>
      </c>
      <c r="C81" s="12" t="str">
        <f>IFERROR(VLOOKUP(B81,concorrenti!A:C,3,0)," ")</f>
        <v>C</v>
      </c>
      <c r="D81" s="12">
        <f>VLOOKUP(B81,concorrenti!A:E,5,0)</f>
        <v>0</v>
      </c>
      <c r="E81" s="12" t="str">
        <f>VLOOKUP(B81,concorrenti!A$1:G$301,2,0)</f>
        <v>CASTELLOTTI</v>
      </c>
      <c r="F81" s="50">
        <f>IFERROR(VLOOKUP(B81,'Nora Sciplino'!A$12:O$58,15,0),0)</f>
        <v>0</v>
      </c>
      <c r="G81" s="80">
        <f>IFERROR(VLOOKUP(B81,Castellotti!A$12:O$66,15,0),0)</f>
        <v>1.5674999999999999</v>
      </c>
      <c r="H81" s="50">
        <f>IFERROR(VLOOKUP(B81,Solidarietà!A:O,14,0),0)</f>
        <v>0</v>
      </c>
      <c r="I81" s="50">
        <v>0</v>
      </c>
      <c r="J81" s="50">
        <v>0</v>
      </c>
      <c r="K81" s="50"/>
      <c r="L81" s="50"/>
      <c r="M81" s="50">
        <v>0</v>
      </c>
      <c r="O81" s="63">
        <f>SUM(F81:N81)</f>
        <v>1.5674999999999999</v>
      </c>
      <c r="Q81" s="59">
        <v>1</v>
      </c>
      <c r="R81" s="60">
        <f>VLOOKUP(Q81,Regolamento!G$6:I$14,3,0)</f>
        <v>1</v>
      </c>
      <c r="T81" s="63">
        <f>+R81*O81</f>
        <v>1.5674999999999999</v>
      </c>
      <c r="U81" s="2"/>
    </row>
    <row r="82" spans="1:21" x14ac:dyDescent="0.25">
      <c r="A82">
        <v>78</v>
      </c>
      <c r="B82" s="8" t="s">
        <v>86</v>
      </c>
      <c r="C82" s="12" t="str">
        <f>IFERROR(VLOOKUP(B82,concorrenti!A:C,3,0)," ")</f>
        <v>C</v>
      </c>
      <c r="D82" s="12">
        <f>VLOOKUP(B82,concorrenti!A:E,5,0)</f>
        <v>0</v>
      </c>
      <c r="E82" s="12" t="str">
        <f>VLOOKUP(B82,concorrenti!A$1:G$301,2,0)</f>
        <v>VAMS</v>
      </c>
      <c r="F82" s="50">
        <f>IFERROR(VLOOKUP(B82,'Nora Sciplino'!A$12:O$58,15,0),0)</f>
        <v>1.3777499999999998</v>
      </c>
      <c r="G82" s="80">
        <f>IFERROR(VLOOKUP(B82,Castellotti!A$12:O$66,15,0),0)</f>
        <v>0</v>
      </c>
      <c r="H82" s="50">
        <f>IFERROR(VLOOKUP(B82,Solidarietà!A:O,14,0),0)</f>
        <v>0</v>
      </c>
      <c r="I82" s="50">
        <v>0</v>
      </c>
      <c r="J82" s="50">
        <v>0</v>
      </c>
      <c r="K82" s="50"/>
      <c r="L82" s="50"/>
      <c r="M82" s="50">
        <v>0</v>
      </c>
      <c r="N82" s="4"/>
      <c r="O82" s="63">
        <f>SUM(F82:N82)</f>
        <v>1.3777499999999998</v>
      </c>
      <c r="Q82" s="59">
        <v>1</v>
      </c>
      <c r="R82" s="60">
        <f>VLOOKUP(Q82,Regolamento!G$6:I$14,3,0)</f>
        <v>1</v>
      </c>
      <c r="T82" s="63">
        <f>+R82*O82</f>
        <v>1.3777499999999998</v>
      </c>
      <c r="U82" s="2"/>
    </row>
    <row r="83" spans="1:21" x14ac:dyDescent="0.25">
      <c r="A83">
        <v>79</v>
      </c>
      <c r="B83" s="8" t="s">
        <v>25</v>
      </c>
      <c r="C83" s="12" t="str">
        <f>IFERROR(VLOOKUP(B83,concorrenti!A:C,3,0)," ")</f>
        <v>B</v>
      </c>
      <c r="D83" s="12">
        <f>VLOOKUP(B83,concorrenti!A:E,5,0)</f>
        <v>0</v>
      </c>
      <c r="E83" s="12" t="str">
        <f>VLOOKUP(B83,concorrenti!A$1:G$301,2,0)</f>
        <v>VAMS</v>
      </c>
      <c r="F83" s="50">
        <f>IFERROR(VLOOKUP(B83,'Nora Sciplino'!A$12:O$58,15,0),0)</f>
        <v>1.3777499999999998</v>
      </c>
      <c r="G83" s="80">
        <f>IFERROR(VLOOKUP(B83,Castellotti!A$12:O$66,15,0),0)</f>
        <v>0</v>
      </c>
      <c r="H83" s="50">
        <f>IFERROR(VLOOKUP(B83,Solidarietà!A:O,14,0),0)</f>
        <v>0</v>
      </c>
      <c r="I83" s="50">
        <v>0</v>
      </c>
      <c r="J83" s="50">
        <v>0</v>
      </c>
      <c r="K83" s="50"/>
      <c r="L83" s="50"/>
      <c r="M83" s="50">
        <v>0</v>
      </c>
      <c r="N83" s="4"/>
      <c r="O83" s="63">
        <f>SUM(F83:N83)</f>
        <v>1.3777499999999998</v>
      </c>
      <c r="Q83" s="59">
        <v>1</v>
      </c>
      <c r="R83" s="60">
        <f>VLOOKUP(Q83,Regolamento!G$6:I$14,3,0)</f>
        <v>1</v>
      </c>
      <c r="T83" s="63">
        <f>+R83*O83</f>
        <v>1.3777499999999998</v>
      </c>
      <c r="U83" s="2"/>
    </row>
    <row r="84" spans="1:21" x14ac:dyDescent="0.25">
      <c r="A84">
        <v>80</v>
      </c>
      <c r="B84" s="8" t="s">
        <v>87</v>
      </c>
      <c r="C84" s="12" t="str">
        <f>IFERROR(VLOOKUP(B84,concorrenti!A:C,3,0)," ")</f>
        <v>C</v>
      </c>
      <c r="D84" s="12">
        <f>VLOOKUP(B84,concorrenti!A:E,5,0)</f>
        <v>0</v>
      </c>
      <c r="E84" s="12" t="str">
        <f>VLOOKUP(B84,concorrenti!A$1:G$301,2,0)</f>
        <v>VALTELLINA</v>
      </c>
      <c r="F84" s="50">
        <f>IFERROR(VLOOKUP(B84,'Nora Sciplino'!A$12:O$58,15,0),0)</f>
        <v>1.3777499999999998</v>
      </c>
      <c r="G84" s="80">
        <f>IFERROR(VLOOKUP(B84,Castellotti!A$12:O$66,15,0),0)</f>
        <v>0</v>
      </c>
      <c r="H84" s="50">
        <f>IFERROR(VLOOKUP(B84,Solidarietà!A:O,14,0),0)</f>
        <v>0</v>
      </c>
      <c r="I84" s="50">
        <v>0</v>
      </c>
      <c r="J84" s="50">
        <v>0</v>
      </c>
      <c r="K84" s="50"/>
      <c r="L84" s="50"/>
      <c r="M84" s="50">
        <v>0</v>
      </c>
      <c r="N84" s="4"/>
      <c r="O84" s="63">
        <f>SUM(F84:N84)</f>
        <v>1.3777499999999998</v>
      </c>
      <c r="Q84" s="59">
        <v>1</v>
      </c>
      <c r="R84" s="60">
        <f>VLOOKUP(Q84,Regolamento!G$6:I$14,3,0)</f>
        <v>1</v>
      </c>
      <c r="T84" s="63">
        <f>+R84*O84</f>
        <v>1.3777499999999998</v>
      </c>
      <c r="U84" s="2"/>
    </row>
    <row r="85" spans="1:21" x14ac:dyDescent="0.25">
      <c r="A85">
        <v>81</v>
      </c>
      <c r="B85" s="8" t="s">
        <v>41</v>
      </c>
      <c r="C85" s="12" t="str">
        <f>IFERROR(VLOOKUP(B85,concorrenti!A:C,3,0)," ")</f>
        <v>C</v>
      </c>
      <c r="D85" s="12">
        <f>VLOOKUP(B85,concorrenti!A:E,5,0)</f>
        <v>0</v>
      </c>
      <c r="E85" s="12" t="str">
        <f>VLOOKUP(B85,concorrenti!A$1:G$301,2,0)</f>
        <v>VALTELLINA</v>
      </c>
      <c r="F85" s="50">
        <f>IFERROR(VLOOKUP(B85,'Nora Sciplino'!A$12:O$58,15,0),0)</f>
        <v>1.3777499999999998</v>
      </c>
      <c r="G85" s="80">
        <f>IFERROR(VLOOKUP(B85,Castellotti!A$12:O$66,15,0),0)</f>
        <v>0</v>
      </c>
      <c r="H85" s="50">
        <f>IFERROR(VLOOKUP(B85,Solidarietà!A:O,14,0),0)</f>
        <v>0</v>
      </c>
      <c r="I85" s="50">
        <v>0</v>
      </c>
      <c r="J85" s="50">
        <v>0</v>
      </c>
      <c r="K85" s="50"/>
      <c r="L85" s="50"/>
      <c r="M85" s="50">
        <v>0</v>
      </c>
      <c r="O85" s="63">
        <f>SUM(F85:N85)</f>
        <v>1.3777499999999998</v>
      </c>
      <c r="Q85" s="59">
        <v>1</v>
      </c>
      <c r="R85" s="60">
        <f>VLOOKUP(Q85,Regolamento!G$6:I$14,3,0)</f>
        <v>1</v>
      </c>
      <c r="T85" s="63">
        <f>+R85*O85</f>
        <v>1.3777499999999998</v>
      </c>
      <c r="U85" s="2"/>
    </row>
    <row r="86" spans="1:21" x14ac:dyDescent="0.25">
      <c r="A86">
        <v>82</v>
      </c>
      <c r="B86" s="8" t="s">
        <v>89</v>
      </c>
      <c r="C86" s="12" t="str">
        <f>IFERROR(VLOOKUP(B86,concorrenti!A:C,3,0)," ")</f>
        <v>C</v>
      </c>
      <c r="D86" s="12">
        <f>VLOOKUP(B86,concorrenti!A:E,5,0)</f>
        <v>0</v>
      </c>
      <c r="E86" s="12" t="str">
        <f>VLOOKUP(B86,concorrenti!A$1:G$301,2,0)</f>
        <v>VAMS</v>
      </c>
      <c r="F86" s="50">
        <f>IFERROR(VLOOKUP(B86,'Nora Sciplino'!A$12:O$58,15,0),0)</f>
        <v>1.3777499999999998</v>
      </c>
      <c r="G86" s="80">
        <f>IFERROR(VLOOKUP(B86,Castellotti!A$12:O$66,15,0),0)</f>
        <v>0</v>
      </c>
      <c r="H86" s="50">
        <f>IFERROR(VLOOKUP(B86,Solidarietà!A:O,14,0),0)</f>
        <v>0</v>
      </c>
      <c r="I86" s="50">
        <v>0</v>
      </c>
      <c r="J86" s="50">
        <v>0</v>
      </c>
      <c r="K86" s="50"/>
      <c r="L86" s="50"/>
      <c r="M86" s="50">
        <v>0</v>
      </c>
      <c r="N86" s="4"/>
      <c r="O86" s="63">
        <f>SUM(F86:N86)</f>
        <v>1.3777499999999998</v>
      </c>
      <c r="Q86" s="59">
        <v>1</v>
      </c>
      <c r="R86" s="60">
        <f>VLOOKUP(Q86,Regolamento!G$6:I$14,3,0)</f>
        <v>1</v>
      </c>
      <c r="T86" s="63">
        <f>+R86*O86</f>
        <v>1.3777499999999998</v>
      </c>
      <c r="U86" s="2"/>
    </row>
    <row r="87" spans="1:21" x14ac:dyDescent="0.25">
      <c r="A87">
        <v>83</v>
      </c>
      <c r="B87" s="8" t="s">
        <v>90</v>
      </c>
      <c r="C87" s="12" t="str">
        <f>IFERROR(VLOOKUP(B87,concorrenti!A:C,3,0)," ")</f>
        <v>C</v>
      </c>
      <c r="D87" s="12">
        <f>VLOOKUP(B87,concorrenti!A:E,5,0)</f>
        <v>0</v>
      </c>
      <c r="E87" s="12" t="str">
        <f>VLOOKUP(B87,concorrenti!A$1:G$301,2,0)</f>
        <v>VAMS</v>
      </c>
      <c r="F87" s="50">
        <f>IFERROR(VLOOKUP(B87,'Nora Sciplino'!A$12:O$58,15,0),0)</f>
        <v>1.3777499999999998</v>
      </c>
      <c r="G87" s="80">
        <f>IFERROR(VLOOKUP(B87,Castellotti!A$12:O$66,15,0),0)</f>
        <v>0</v>
      </c>
      <c r="H87" s="50">
        <f>IFERROR(VLOOKUP(B87,Solidarietà!A:O,14,0),0)</f>
        <v>0</v>
      </c>
      <c r="I87" s="50">
        <v>0</v>
      </c>
      <c r="J87" s="50">
        <v>0</v>
      </c>
      <c r="K87" s="50"/>
      <c r="L87" s="50"/>
      <c r="M87" s="50">
        <v>0</v>
      </c>
      <c r="N87" s="4"/>
      <c r="O87" s="63">
        <f>SUM(F87:N87)</f>
        <v>1.3777499999999998</v>
      </c>
      <c r="Q87" s="59">
        <v>1</v>
      </c>
      <c r="R87" s="60">
        <f>VLOOKUP(Q87,Regolamento!G$6:I$14,3,0)</f>
        <v>1</v>
      </c>
      <c r="T87" s="63">
        <f>+R87*O87</f>
        <v>1.3777499999999998</v>
      </c>
      <c r="U87" s="2"/>
    </row>
    <row r="88" spans="1:21" x14ac:dyDescent="0.25">
      <c r="A88">
        <v>84</v>
      </c>
      <c r="B88" s="8" t="s">
        <v>92</v>
      </c>
      <c r="C88" s="12" t="str">
        <f>IFERROR(VLOOKUP(B88,concorrenti!A:C,3,0)," ")</f>
        <v>C</v>
      </c>
      <c r="D88" s="12">
        <f>VLOOKUP(B88,concorrenti!A:E,5,0)</f>
        <v>0</v>
      </c>
      <c r="E88" s="12" t="str">
        <f>VLOOKUP(B88,concorrenti!A$1:G$301,2,0)</f>
        <v>VALTELLINA</v>
      </c>
      <c r="F88" s="50">
        <f>IFERROR(VLOOKUP(B88,'Nora Sciplino'!A$12:O$58,15,0),0)</f>
        <v>1.3777499999999998</v>
      </c>
      <c r="G88" s="80">
        <f>IFERROR(VLOOKUP(B88,Castellotti!A$12:O$66,15,0),0)</f>
        <v>0</v>
      </c>
      <c r="H88" s="50">
        <f>IFERROR(VLOOKUP(B88,Solidarietà!A:O,14,0),0)</f>
        <v>0</v>
      </c>
      <c r="I88" s="50">
        <v>0</v>
      </c>
      <c r="J88" s="50">
        <v>0</v>
      </c>
      <c r="K88" s="50"/>
      <c r="L88" s="50"/>
      <c r="M88" s="50">
        <v>0</v>
      </c>
      <c r="N88" s="4"/>
      <c r="O88" s="63">
        <f>SUM(F88:N88)</f>
        <v>1.3777499999999998</v>
      </c>
      <c r="Q88" s="59">
        <v>1</v>
      </c>
      <c r="R88" s="60">
        <f>VLOOKUP(Q88,Regolamento!G$6:I$14,3,0)</f>
        <v>1</v>
      </c>
      <c r="T88" s="63">
        <f>+R88*O88</f>
        <v>1.3777499999999998</v>
      </c>
      <c r="U88" s="2"/>
    </row>
    <row r="89" spans="1:21" x14ac:dyDescent="0.25">
      <c r="A89">
        <v>85</v>
      </c>
      <c r="B89" s="8" t="s">
        <v>93</v>
      </c>
      <c r="C89" s="12" t="str">
        <f>IFERROR(VLOOKUP(B89,concorrenti!A:C,3,0)," ")</f>
        <v>C</v>
      </c>
      <c r="D89" s="12">
        <f>VLOOKUP(B89,concorrenti!A:E,5,0)</f>
        <v>0</v>
      </c>
      <c r="E89" s="12" t="str">
        <f>VLOOKUP(B89,concorrenti!A$1:G$301,2,0)</f>
        <v>VAMS</v>
      </c>
      <c r="F89" s="50">
        <f>IFERROR(VLOOKUP(B89,'Nora Sciplino'!A$12:O$58,15,0),0)</f>
        <v>1.3777499999999998</v>
      </c>
      <c r="G89" s="80">
        <f>IFERROR(VLOOKUP(B89,Castellotti!A$12:O$66,15,0),0)</f>
        <v>0</v>
      </c>
      <c r="H89" s="50">
        <f>IFERROR(VLOOKUP(B89,Solidarietà!A:O,14,0),0)</f>
        <v>0</v>
      </c>
      <c r="I89" s="50">
        <v>0</v>
      </c>
      <c r="J89" s="50">
        <v>0</v>
      </c>
      <c r="K89" s="50"/>
      <c r="L89" s="50"/>
      <c r="M89" s="50">
        <v>0</v>
      </c>
      <c r="O89" s="63">
        <f>SUM(F89:N89)</f>
        <v>1.3777499999999998</v>
      </c>
      <c r="Q89" s="59">
        <v>1</v>
      </c>
      <c r="R89" s="60">
        <f>VLOOKUP(Q89,Regolamento!G$6:I$14,3,0)</f>
        <v>1</v>
      </c>
      <c r="T89" s="63">
        <f>+R89*O89</f>
        <v>1.3777499999999998</v>
      </c>
      <c r="U89" s="2"/>
    </row>
    <row r="90" spans="1:21" x14ac:dyDescent="0.25">
      <c r="A90">
        <v>86</v>
      </c>
      <c r="B90" s="8" t="s">
        <v>94</v>
      </c>
      <c r="C90" s="12" t="str">
        <f>IFERROR(VLOOKUP(B90,concorrenti!A:C,3,0)," ")</f>
        <v>C</v>
      </c>
      <c r="D90" s="12">
        <f>VLOOKUP(B90,concorrenti!A:E,5,0)</f>
        <v>0</v>
      </c>
      <c r="E90" s="12" t="str">
        <f>VLOOKUP(B90,concorrenti!A$1:G$301,2,0)</f>
        <v>VALTELLINA</v>
      </c>
      <c r="F90" s="50">
        <f>IFERROR(VLOOKUP(B90,'Nora Sciplino'!A$12:O$58,15,0),0)</f>
        <v>1.3777499999999998</v>
      </c>
      <c r="G90" s="80">
        <f>IFERROR(VLOOKUP(B90,Castellotti!A$12:O$66,15,0),0)</f>
        <v>0</v>
      </c>
      <c r="H90" s="50">
        <f>IFERROR(VLOOKUP(B90,Solidarietà!A:O,14,0),0)</f>
        <v>0</v>
      </c>
      <c r="I90" s="50">
        <v>0</v>
      </c>
      <c r="J90" s="50">
        <v>0</v>
      </c>
      <c r="K90" s="50"/>
      <c r="L90" s="50"/>
      <c r="M90" s="50">
        <v>0</v>
      </c>
      <c r="O90" s="63">
        <f>SUM(F90:N90)</f>
        <v>1.3777499999999998</v>
      </c>
      <c r="Q90" s="59">
        <v>1</v>
      </c>
      <c r="R90" s="60">
        <f>VLOOKUP(Q90,Regolamento!G$6:I$14,3,0)</f>
        <v>1</v>
      </c>
      <c r="T90" s="63">
        <f>+R90*O90</f>
        <v>1.3777499999999998</v>
      </c>
      <c r="U90" s="2"/>
    </row>
    <row r="91" spans="1:21" x14ac:dyDescent="0.25">
      <c r="A91">
        <v>87</v>
      </c>
      <c r="B91" s="8" t="s">
        <v>95</v>
      </c>
      <c r="C91" s="12" t="str">
        <f>IFERROR(VLOOKUP(B91,concorrenti!A:C,3,0)," ")</f>
        <v>C</v>
      </c>
      <c r="D91" s="12">
        <f>VLOOKUP(B91,concorrenti!A:E,5,0)</f>
        <v>0</v>
      </c>
      <c r="E91" s="12" t="str">
        <f>VLOOKUP(B91,concorrenti!A$1:G$301,2,0)</f>
        <v>VALTELLINA</v>
      </c>
      <c r="F91" s="50">
        <f>IFERROR(VLOOKUP(B91,'Nora Sciplino'!A$12:O$58,15,0),0)</f>
        <v>1.3777499999999998</v>
      </c>
      <c r="G91" s="80">
        <f>IFERROR(VLOOKUP(B91,Castellotti!A$12:O$66,15,0),0)</f>
        <v>0</v>
      </c>
      <c r="H91" s="50">
        <f>IFERROR(VLOOKUP(B91,Solidarietà!A:O,14,0),0)</f>
        <v>0</v>
      </c>
      <c r="I91" s="50">
        <v>0</v>
      </c>
      <c r="J91" s="50">
        <v>0</v>
      </c>
      <c r="K91" s="50"/>
      <c r="L91" s="50"/>
      <c r="M91" s="50">
        <v>0</v>
      </c>
      <c r="N91" s="4"/>
      <c r="O91" s="63">
        <f>SUM(F91:N91)</f>
        <v>1.3777499999999998</v>
      </c>
      <c r="Q91" s="59">
        <v>1</v>
      </c>
      <c r="R91" s="60">
        <f>VLOOKUP(Q91,Regolamento!G$6:I$14,3,0)</f>
        <v>1</v>
      </c>
      <c r="T91" s="63">
        <f>+R91*O91</f>
        <v>1.3777499999999998</v>
      </c>
      <c r="U91" s="2"/>
    </row>
    <row r="92" spans="1:21" x14ac:dyDescent="0.25">
      <c r="A92">
        <v>88</v>
      </c>
      <c r="B92" s="8"/>
      <c r="C92" s="12" t="str">
        <f>IFERROR(VLOOKUP(B92,concorrenti!A:C,3,0)," ")</f>
        <v xml:space="preserve"> </v>
      </c>
      <c r="D92" s="12" t="e">
        <f>VLOOKUP(B92,concorrenti!A:E,5,0)</f>
        <v>#N/A</v>
      </c>
      <c r="E92" s="12" t="e">
        <f>VLOOKUP(B92,concorrenti!A$1:G$301,2,0)</f>
        <v>#N/A</v>
      </c>
      <c r="F92" s="50">
        <f>IFERROR(VLOOKUP(B92,'Nora Sciplino'!A$12:O$58,15,0),0)</f>
        <v>0</v>
      </c>
      <c r="G92" s="80">
        <f>IFERROR(VLOOKUP(B92,Castellotti!A$12:O$66,15,0),0)</f>
        <v>0</v>
      </c>
      <c r="H92" s="50">
        <f>IFERROR(VLOOKUP(B92,Solidarietà!A:O,14,0),0)</f>
        <v>0</v>
      </c>
      <c r="I92" s="50">
        <v>0</v>
      </c>
      <c r="J92" s="50">
        <v>0</v>
      </c>
      <c r="K92" s="50"/>
      <c r="L92" s="50"/>
      <c r="M92" s="50">
        <v>0</v>
      </c>
      <c r="N92" s="4"/>
      <c r="O92" s="63">
        <f t="shared" ref="O69:O100" si="3">SUM(F92:N92)</f>
        <v>0</v>
      </c>
      <c r="Q92" s="59">
        <v>1</v>
      </c>
      <c r="R92" s="60">
        <f>VLOOKUP(Q92,Regolamento!G$6:I$14,3,0)</f>
        <v>1</v>
      </c>
      <c r="T92" s="63">
        <f t="shared" ref="T91:T114" si="4">+R92*O92</f>
        <v>0</v>
      </c>
      <c r="U92" s="2"/>
    </row>
    <row r="93" spans="1:21" x14ac:dyDescent="0.25">
      <c r="A93">
        <v>89</v>
      </c>
      <c r="B93" s="8"/>
      <c r="C93" s="12" t="str">
        <f>IFERROR(VLOOKUP(B93,concorrenti!A:C,3,0)," ")</f>
        <v xml:space="preserve"> </v>
      </c>
      <c r="D93" s="12" t="e">
        <f>VLOOKUP(B93,concorrenti!A:E,5,0)</f>
        <v>#N/A</v>
      </c>
      <c r="E93" s="12" t="e">
        <f>VLOOKUP(B93,concorrenti!A$1:G$301,2,0)</f>
        <v>#N/A</v>
      </c>
      <c r="F93" s="50">
        <f>IFERROR(VLOOKUP(B93,'Nora Sciplino'!A$12:O$58,15,0),0)</f>
        <v>0</v>
      </c>
      <c r="G93" s="80">
        <f>IFERROR(VLOOKUP(B93,Castellotti!A$12:O$66,15,0),0)</f>
        <v>0</v>
      </c>
      <c r="H93" s="50">
        <f>IFERROR(VLOOKUP(B93,Solidarietà!A:O,14,0),0)</f>
        <v>0</v>
      </c>
      <c r="I93" s="50">
        <v>0</v>
      </c>
      <c r="J93" s="50">
        <v>0</v>
      </c>
      <c r="K93" s="50"/>
      <c r="L93" s="50"/>
      <c r="M93" s="50">
        <v>0</v>
      </c>
      <c r="N93" s="4"/>
      <c r="O93" s="63">
        <f t="shared" si="3"/>
        <v>0</v>
      </c>
      <c r="Q93" s="59">
        <v>1</v>
      </c>
      <c r="R93" s="60">
        <f>VLOOKUP(Q93,Regolamento!G$6:I$14,3,0)</f>
        <v>1</v>
      </c>
      <c r="T93" s="63">
        <f t="shared" si="4"/>
        <v>0</v>
      </c>
      <c r="U93" s="2"/>
    </row>
    <row r="94" spans="1:21" x14ac:dyDescent="0.25">
      <c r="A94">
        <v>90</v>
      </c>
      <c r="B94" s="8"/>
      <c r="C94" s="12" t="str">
        <f>IFERROR(VLOOKUP(B94,concorrenti!A:C,3,0)," ")</f>
        <v xml:space="preserve"> </v>
      </c>
      <c r="D94" s="12" t="e">
        <f>VLOOKUP(B94,concorrenti!A:E,5,0)</f>
        <v>#N/A</v>
      </c>
      <c r="E94" s="12" t="e">
        <f>VLOOKUP(B94,concorrenti!A$1:G$301,2,0)</f>
        <v>#N/A</v>
      </c>
      <c r="F94" s="50">
        <f>IFERROR(VLOOKUP(B94,'Nora Sciplino'!A$12:O$58,15,0),0)</f>
        <v>0</v>
      </c>
      <c r="G94" s="80">
        <f>IFERROR(VLOOKUP(B94,Castellotti!A$12:O$66,15,0),0)</f>
        <v>0</v>
      </c>
      <c r="H94" s="50">
        <f>IFERROR(VLOOKUP(B94,Solidarietà!A:O,14,0),0)</f>
        <v>0</v>
      </c>
      <c r="I94" s="50">
        <v>0</v>
      </c>
      <c r="J94" s="50">
        <v>0</v>
      </c>
      <c r="K94" s="50"/>
      <c r="L94" s="50"/>
      <c r="M94" s="50">
        <v>0</v>
      </c>
      <c r="O94" s="63">
        <f t="shared" si="3"/>
        <v>0</v>
      </c>
      <c r="Q94" s="59">
        <v>1</v>
      </c>
      <c r="R94" s="60">
        <f>VLOOKUP(Q94,Regolamento!G$6:I$14,3,0)</f>
        <v>1</v>
      </c>
      <c r="T94" s="63">
        <f t="shared" si="4"/>
        <v>0</v>
      </c>
      <c r="U94" s="2"/>
    </row>
    <row r="95" spans="1:21" x14ac:dyDescent="0.25">
      <c r="A95">
        <v>91</v>
      </c>
      <c r="B95" s="8"/>
      <c r="C95" s="12" t="str">
        <f>IFERROR(VLOOKUP(B95,concorrenti!A:C,3,0)," ")</f>
        <v xml:space="preserve"> </v>
      </c>
      <c r="D95" s="12" t="e">
        <f>VLOOKUP(B95,concorrenti!A:E,5,0)</f>
        <v>#N/A</v>
      </c>
      <c r="E95" s="12" t="e">
        <f>VLOOKUP(B95,concorrenti!A$1:G$301,2,0)</f>
        <v>#N/A</v>
      </c>
      <c r="F95" s="50">
        <f>IFERROR(VLOOKUP(B95,'Nora Sciplino'!A$12:O$58,15,0),0)</f>
        <v>0</v>
      </c>
      <c r="G95" s="80">
        <f>IFERROR(VLOOKUP(B95,Castellotti!A$12:O$66,15,0),0)</f>
        <v>0</v>
      </c>
      <c r="H95" s="50">
        <f>IFERROR(VLOOKUP(B95,Solidarietà!A:O,14,0),0)</f>
        <v>0</v>
      </c>
      <c r="I95" s="50">
        <v>0</v>
      </c>
      <c r="J95" s="50">
        <v>0</v>
      </c>
      <c r="K95" s="50"/>
      <c r="L95" s="50"/>
      <c r="M95" s="50">
        <v>0</v>
      </c>
      <c r="O95" s="63">
        <f t="shared" si="3"/>
        <v>0</v>
      </c>
      <c r="Q95" s="59">
        <v>1</v>
      </c>
      <c r="R95" s="60">
        <f>VLOOKUP(Q95,Regolamento!G$6:I$14,3,0)</f>
        <v>1</v>
      </c>
      <c r="T95" s="63">
        <f t="shared" si="4"/>
        <v>0</v>
      </c>
      <c r="U95" s="2"/>
    </row>
    <row r="96" spans="1:21" x14ac:dyDescent="0.25">
      <c r="A96">
        <v>92</v>
      </c>
      <c r="B96" s="8"/>
      <c r="C96" s="12" t="str">
        <f>IFERROR(VLOOKUP(B96,concorrenti!A:C,3,0)," ")</f>
        <v xml:space="preserve"> </v>
      </c>
      <c r="D96" s="12" t="e">
        <f>VLOOKUP(B96,concorrenti!A:E,5,0)</f>
        <v>#N/A</v>
      </c>
      <c r="E96" s="12" t="e">
        <f>VLOOKUP(B96,concorrenti!A$1:G$301,2,0)</f>
        <v>#N/A</v>
      </c>
      <c r="F96" s="50">
        <f>IFERROR(VLOOKUP(B96,'Nora Sciplino'!A$12:O$58,15,0),0)</f>
        <v>0</v>
      </c>
      <c r="G96" s="80">
        <f>IFERROR(VLOOKUP(B96,Castellotti!A$12:O$66,15,0),0)</f>
        <v>0</v>
      </c>
      <c r="H96" s="50">
        <f>IFERROR(VLOOKUP(B96,Solidarietà!A:O,14,0),0)</f>
        <v>0</v>
      </c>
      <c r="I96" s="50">
        <v>0</v>
      </c>
      <c r="J96" s="50">
        <v>0</v>
      </c>
      <c r="K96" s="50"/>
      <c r="L96" s="50"/>
      <c r="M96" s="50">
        <v>0</v>
      </c>
      <c r="N96" s="4"/>
      <c r="O96" s="63">
        <f t="shared" si="3"/>
        <v>0</v>
      </c>
      <c r="Q96" s="59">
        <v>1</v>
      </c>
      <c r="R96" s="60">
        <f>VLOOKUP(Q96,Regolamento!G$6:I$14,3,0)</f>
        <v>1</v>
      </c>
      <c r="T96" s="63">
        <f t="shared" si="4"/>
        <v>0</v>
      </c>
      <c r="U96" s="2"/>
    </row>
    <row r="97" spans="1:21" x14ac:dyDescent="0.25">
      <c r="A97">
        <v>93</v>
      </c>
      <c r="B97" s="8"/>
      <c r="C97" s="12" t="str">
        <f>IFERROR(VLOOKUP(B97,concorrenti!A:C,3,0)," ")</f>
        <v xml:space="preserve"> </v>
      </c>
      <c r="D97" s="12" t="e">
        <f>VLOOKUP(B97,concorrenti!A:E,5,0)</f>
        <v>#N/A</v>
      </c>
      <c r="E97" s="12" t="e">
        <f>VLOOKUP(B97,concorrenti!A$1:G$301,2,0)</f>
        <v>#N/A</v>
      </c>
      <c r="F97" s="50">
        <f>IFERROR(VLOOKUP(B97,'Nora Sciplino'!A$12:O$58,15,0),0)</f>
        <v>0</v>
      </c>
      <c r="G97" s="80">
        <f>IFERROR(VLOOKUP(B97,Castellotti!A$12:O$66,15,0),0)</f>
        <v>0</v>
      </c>
      <c r="H97" s="50">
        <f>IFERROR(VLOOKUP(B97,Solidarietà!A:O,14,0),0)</f>
        <v>0</v>
      </c>
      <c r="I97" s="50">
        <v>0</v>
      </c>
      <c r="J97" s="50">
        <v>0</v>
      </c>
      <c r="K97" s="50"/>
      <c r="L97" s="50"/>
      <c r="M97" s="50">
        <v>0</v>
      </c>
      <c r="N97" s="4"/>
      <c r="O97" s="63">
        <f t="shared" si="3"/>
        <v>0</v>
      </c>
      <c r="Q97" s="59">
        <v>1</v>
      </c>
      <c r="R97" s="60">
        <f>VLOOKUP(Q97,Regolamento!G$6:I$14,3,0)</f>
        <v>1</v>
      </c>
      <c r="T97" s="63">
        <f t="shared" si="4"/>
        <v>0</v>
      </c>
      <c r="U97" s="2"/>
    </row>
    <row r="98" spans="1:21" x14ac:dyDescent="0.25">
      <c r="A98">
        <v>94</v>
      </c>
      <c r="B98" s="8"/>
      <c r="C98" s="12" t="str">
        <f>IFERROR(VLOOKUP(B98,concorrenti!A:C,3,0)," ")</f>
        <v xml:space="preserve"> </v>
      </c>
      <c r="D98" s="12" t="e">
        <f>VLOOKUP(B98,concorrenti!A:E,5,0)</f>
        <v>#N/A</v>
      </c>
      <c r="E98" s="12" t="e">
        <f>VLOOKUP(B98,concorrenti!A$1:G$301,2,0)</f>
        <v>#N/A</v>
      </c>
      <c r="F98" s="50">
        <f>IFERROR(VLOOKUP(B98,'Nora Sciplino'!A$12:O$58,15,0),0)</f>
        <v>0</v>
      </c>
      <c r="G98" s="80">
        <f>IFERROR(VLOOKUP(B98,Castellotti!A$12:O$66,15,0),0)</f>
        <v>0</v>
      </c>
      <c r="H98" s="50">
        <f>IFERROR(VLOOKUP(B98,Solidarietà!A:O,14,0),0)</f>
        <v>0</v>
      </c>
      <c r="I98" s="50">
        <v>0</v>
      </c>
      <c r="J98" s="50">
        <v>0</v>
      </c>
      <c r="K98" s="50"/>
      <c r="L98" s="50"/>
      <c r="M98" s="50">
        <v>0</v>
      </c>
      <c r="N98" s="4"/>
      <c r="O98" s="63">
        <f t="shared" si="3"/>
        <v>0</v>
      </c>
      <c r="Q98" s="59">
        <v>1</v>
      </c>
      <c r="R98" s="60">
        <f>VLOOKUP(Q98,Regolamento!G$6:I$14,3,0)</f>
        <v>1</v>
      </c>
      <c r="T98" s="63">
        <f t="shared" si="4"/>
        <v>0</v>
      </c>
      <c r="U98" s="2"/>
    </row>
    <row r="99" spans="1:21" x14ac:dyDescent="0.25">
      <c r="A99">
        <v>95</v>
      </c>
      <c r="B99" s="8"/>
      <c r="C99" s="12" t="str">
        <f>IFERROR(VLOOKUP(B99,concorrenti!A:C,3,0)," ")</f>
        <v xml:space="preserve"> </v>
      </c>
      <c r="D99" s="12" t="e">
        <f>VLOOKUP(B99,concorrenti!A:E,5,0)</f>
        <v>#N/A</v>
      </c>
      <c r="E99" s="12" t="e">
        <f>VLOOKUP(B99,concorrenti!A$1:G$301,2,0)</f>
        <v>#N/A</v>
      </c>
      <c r="F99" s="50">
        <f>IFERROR(VLOOKUP(B99,'Nora Sciplino'!A$12:O$58,15,0),0)</f>
        <v>0</v>
      </c>
      <c r="G99" s="80">
        <f>IFERROR(VLOOKUP(B99,Castellotti!A$12:O$66,15,0),0)</f>
        <v>0</v>
      </c>
      <c r="H99" s="50">
        <f>IFERROR(VLOOKUP(B99,Solidarietà!A:O,14,0),0)</f>
        <v>0</v>
      </c>
      <c r="I99" s="50">
        <v>0</v>
      </c>
      <c r="J99" s="50">
        <v>0</v>
      </c>
      <c r="K99" s="50"/>
      <c r="L99" s="50"/>
      <c r="M99" s="50">
        <v>0</v>
      </c>
      <c r="N99" s="4"/>
      <c r="O99" s="63">
        <f t="shared" si="3"/>
        <v>0</v>
      </c>
      <c r="Q99" s="59">
        <v>1</v>
      </c>
      <c r="R99" s="60">
        <f>VLOOKUP(Q99,Regolamento!G$6:I$14,3,0)</f>
        <v>1</v>
      </c>
      <c r="T99" s="63">
        <f t="shared" si="4"/>
        <v>0</v>
      </c>
      <c r="U99" s="2"/>
    </row>
    <row r="100" spans="1:21" x14ac:dyDescent="0.25">
      <c r="A100">
        <v>96</v>
      </c>
      <c r="B100" s="8"/>
      <c r="C100" s="12" t="str">
        <f>IFERROR(VLOOKUP(B100,concorrenti!A:C,3,0)," ")</f>
        <v xml:space="preserve"> </v>
      </c>
      <c r="D100" s="12" t="e">
        <f>VLOOKUP(B100,concorrenti!A:E,5,0)</f>
        <v>#N/A</v>
      </c>
      <c r="E100" s="12" t="e">
        <f>VLOOKUP(B100,concorrenti!A$1:G$301,2,0)</f>
        <v>#N/A</v>
      </c>
      <c r="F100" s="50">
        <f>IFERROR(VLOOKUP(B100,'Nora Sciplino'!A$12:O$58,15,0),0)</f>
        <v>0</v>
      </c>
      <c r="G100" s="80">
        <f>IFERROR(VLOOKUP(B100,Castellotti!A$12:O$66,15,0),0)</f>
        <v>0</v>
      </c>
      <c r="H100" s="50">
        <f>IFERROR(VLOOKUP(B100,Solidarietà!A:O,14,0),0)</f>
        <v>0</v>
      </c>
      <c r="I100" s="50">
        <v>0</v>
      </c>
      <c r="J100" s="50">
        <v>0</v>
      </c>
      <c r="K100" s="50"/>
      <c r="L100" s="50"/>
      <c r="M100" s="50">
        <v>0</v>
      </c>
      <c r="O100" s="63">
        <f t="shared" si="3"/>
        <v>0</v>
      </c>
      <c r="Q100" s="59">
        <v>1</v>
      </c>
      <c r="R100" s="60">
        <f>VLOOKUP(Q100,Regolamento!G$6:I$14,3,0)</f>
        <v>1</v>
      </c>
      <c r="T100" s="63">
        <f t="shared" si="4"/>
        <v>0</v>
      </c>
      <c r="U100" s="2"/>
    </row>
    <row r="101" spans="1:21" x14ac:dyDescent="0.25">
      <c r="A101">
        <v>97</v>
      </c>
      <c r="B101" s="8"/>
      <c r="C101" s="12" t="str">
        <f>IFERROR(VLOOKUP(B101,concorrenti!A:C,3,0)," ")</f>
        <v xml:space="preserve"> </v>
      </c>
      <c r="D101" s="12" t="e">
        <f>VLOOKUP(B101,concorrenti!A:E,5,0)</f>
        <v>#N/A</v>
      </c>
      <c r="E101" s="12" t="e">
        <f>VLOOKUP(B101,concorrenti!A$1:G$301,2,0)</f>
        <v>#N/A</v>
      </c>
      <c r="F101" s="50">
        <f>IFERROR(VLOOKUP(B101,'Nora Sciplino'!A$12:O$58,15,0),0)</f>
        <v>0</v>
      </c>
      <c r="G101" s="80">
        <f>IFERROR(VLOOKUP(B101,Castellotti!A$12:O$66,15,0),0)</f>
        <v>0</v>
      </c>
      <c r="H101" s="50">
        <f>IFERROR(VLOOKUP(B101,Solidarietà!A:O,14,0),0)</f>
        <v>0</v>
      </c>
      <c r="I101" s="50">
        <v>0</v>
      </c>
      <c r="J101" s="50">
        <v>0</v>
      </c>
      <c r="K101" s="50"/>
      <c r="L101" s="50"/>
      <c r="M101" s="50">
        <v>0</v>
      </c>
      <c r="N101" s="4"/>
      <c r="O101" s="63">
        <f t="shared" ref="O101:O114" si="5">SUM(F101:N101)</f>
        <v>0</v>
      </c>
      <c r="Q101" s="59">
        <v>1</v>
      </c>
      <c r="R101" s="60">
        <f>VLOOKUP(Q101,Regolamento!G$6:I$14,3,0)</f>
        <v>1</v>
      </c>
      <c r="T101" s="63">
        <f t="shared" si="4"/>
        <v>0</v>
      </c>
      <c r="U101" s="2"/>
    </row>
    <row r="102" spans="1:21" x14ac:dyDescent="0.25">
      <c r="A102">
        <v>98</v>
      </c>
      <c r="B102" s="8"/>
      <c r="C102" s="12" t="str">
        <f>IFERROR(VLOOKUP(B102,concorrenti!A:C,3,0)," ")</f>
        <v xml:space="preserve"> </v>
      </c>
      <c r="D102" s="12" t="e">
        <f>VLOOKUP(B102,concorrenti!A:E,5,0)</f>
        <v>#N/A</v>
      </c>
      <c r="E102" s="12" t="e">
        <f>VLOOKUP(B102,concorrenti!A$1:G$301,2,0)</f>
        <v>#N/A</v>
      </c>
      <c r="F102" s="50">
        <f>IFERROR(VLOOKUP(B102,'Nora Sciplino'!A$12:O$58,15,0),0)</f>
        <v>0</v>
      </c>
      <c r="G102" s="80">
        <f>IFERROR(VLOOKUP(B102,Castellotti!A$12:O$66,15,0),0)</f>
        <v>0</v>
      </c>
      <c r="H102" s="50">
        <f>IFERROR(VLOOKUP(B102,Solidarietà!A:O,14,0),0)</f>
        <v>0</v>
      </c>
      <c r="I102" s="50">
        <v>0</v>
      </c>
      <c r="J102" s="50">
        <v>0</v>
      </c>
      <c r="K102" s="50"/>
      <c r="L102" s="50"/>
      <c r="M102" s="50">
        <v>0</v>
      </c>
      <c r="N102" s="4"/>
      <c r="O102" s="63">
        <f t="shared" si="5"/>
        <v>0</v>
      </c>
      <c r="Q102" s="59">
        <v>1</v>
      </c>
      <c r="R102" s="60">
        <f>VLOOKUP(Q102,Regolamento!G$6:I$14,3,0)</f>
        <v>1</v>
      </c>
      <c r="T102" s="63">
        <f t="shared" si="4"/>
        <v>0</v>
      </c>
      <c r="U102" s="2"/>
    </row>
    <row r="103" spans="1:21" x14ac:dyDescent="0.25">
      <c r="A103">
        <v>99</v>
      </c>
      <c r="B103" s="8"/>
      <c r="C103" s="12" t="str">
        <f>IFERROR(VLOOKUP(B103,concorrenti!A:C,3,0)," ")</f>
        <v xml:space="preserve"> </v>
      </c>
      <c r="D103" s="12" t="e">
        <f>VLOOKUP(B103,concorrenti!A:E,5,0)</f>
        <v>#N/A</v>
      </c>
      <c r="E103" s="12" t="e">
        <f>VLOOKUP(B103,concorrenti!A$1:G$301,2,0)</f>
        <v>#N/A</v>
      </c>
      <c r="F103" s="50">
        <f>IFERROR(VLOOKUP(B103,'Nora Sciplino'!A$12:O$58,15,0),0)</f>
        <v>0</v>
      </c>
      <c r="G103" s="80">
        <f>IFERROR(VLOOKUP(B103,Castellotti!A$12:O$66,15,0),0)</f>
        <v>0</v>
      </c>
      <c r="H103" s="50">
        <f>IFERROR(VLOOKUP(B103,Solidarietà!A:O,14,0),0)</f>
        <v>0</v>
      </c>
      <c r="I103" s="50">
        <v>0</v>
      </c>
      <c r="J103" s="50">
        <v>0</v>
      </c>
      <c r="K103" s="50"/>
      <c r="L103" s="50"/>
      <c r="M103" s="50">
        <v>0</v>
      </c>
      <c r="N103" s="4"/>
      <c r="O103" s="63">
        <f t="shared" si="5"/>
        <v>0</v>
      </c>
      <c r="Q103" s="59">
        <v>1</v>
      </c>
      <c r="R103" s="60">
        <f>VLOOKUP(Q103,Regolamento!G$6:I$14,3,0)</f>
        <v>1</v>
      </c>
      <c r="T103" s="63">
        <f t="shared" si="4"/>
        <v>0</v>
      </c>
      <c r="U103" s="2"/>
    </row>
    <row r="104" spans="1:21" x14ac:dyDescent="0.25">
      <c r="A104">
        <v>100</v>
      </c>
      <c r="B104" s="8"/>
      <c r="C104" s="12" t="str">
        <f>IFERROR(VLOOKUP(B104,concorrenti!A:C,3,0)," ")</f>
        <v xml:space="preserve"> </v>
      </c>
      <c r="D104" s="12" t="e">
        <f>VLOOKUP(B104,concorrenti!A:E,5,0)</f>
        <v>#N/A</v>
      </c>
      <c r="E104" s="12" t="e">
        <f>VLOOKUP(B104,concorrenti!A$1:G$301,2,0)</f>
        <v>#N/A</v>
      </c>
      <c r="F104" s="50">
        <f>IFERROR(VLOOKUP(B104,'Nora Sciplino'!A$12:O$58,15,0),0)</f>
        <v>0</v>
      </c>
      <c r="G104" s="80">
        <f>IFERROR(VLOOKUP(B104,Castellotti!A$12:O$66,15,0),0)</f>
        <v>0</v>
      </c>
      <c r="H104" s="50">
        <f>IFERROR(VLOOKUP(B104,Solidarietà!A:O,14,0),0)</f>
        <v>0</v>
      </c>
      <c r="I104" s="50">
        <v>0</v>
      </c>
      <c r="J104" s="50">
        <v>0</v>
      </c>
      <c r="K104" s="50"/>
      <c r="L104" s="50"/>
      <c r="M104" s="50">
        <v>0</v>
      </c>
      <c r="N104" s="4"/>
      <c r="O104" s="63">
        <f t="shared" si="5"/>
        <v>0</v>
      </c>
      <c r="Q104" s="59">
        <v>1</v>
      </c>
      <c r="R104" s="60">
        <f>VLOOKUP(Q104,Regolamento!G$6:I$14,3,0)</f>
        <v>1</v>
      </c>
      <c r="T104" s="63">
        <f t="shared" si="4"/>
        <v>0</v>
      </c>
      <c r="U104" s="2"/>
    </row>
    <row r="105" spans="1:21" x14ac:dyDescent="0.25">
      <c r="A105">
        <v>101</v>
      </c>
      <c r="B105" s="8"/>
      <c r="C105" s="12" t="str">
        <f>IFERROR(VLOOKUP(B105,concorrenti!A:C,3,0)," ")</f>
        <v xml:space="preserve"> </v>
      </c>
      <c r="D105" s="12" t="e">
        <f>VLOOKUP(B105,concorrenti!A:E,5,0)</f>
        <v>#N/A</v>
      </c>
      <c r="E105" s="12" t="e">
        <f>VLOOKUP(B105,concorrenti!A$1:G$301,2,0)</f>
        <v>#N/A</v>
      </c>
      <c r="F105" s="50">
        <f>IFERROR(VLOOKUP(B105,'Nora Sciplino'!A$12:O$58,15,0),0)</f>
        <v>0</v>
      </c>
      <c r="G105" s="80">
        <f>IFERROR(VLOOKUP(B105,Castellotti!A$12:O$66,15,0),0)</f>
        <v>0</v>
      </c>
      <c r="H105" s="50">
        <f>IFERROR(VLOOKUP(B105,Solidarietà!A:O,14,0),0)</f>
        <v>0</v>
      </c>
      <c r="I105" s="50">
        <v>0</v>
      </c>
      <c r="J105" s="50">
        <v>0</v>
      </c>
      <c r="K105" s="50"/>
      <c r="L105" s="50"/>
      <c r="M105" s="50">
        <v>0</v>
      </c>
      <c r="N105" s="4"/>
      <c r="O105" s="63">
        <f t="shared" si="5"/>
        <v>0</v>
      </c>
      <c r="Q105" s="59">
        <v>1</v>
      </c>
      <c r="R105" s="60">
        <f>VLOOKUP(Q105,Regolamento!G$6:I$14,3,0)</f>
        <v>1</v>
      </c>
      <c r="T105" s="63">
        <f t="shared" si="4"/>
        <v>0</v>
      </c>
      <c r="U105" s="2"/>
    </row>
    <row r="106" spans="1:21" x14ac:dyDescent="0.25">
      <c r="A106">
        <v>102</v>
      </c>
      <c r="B106" s="8"/>
      <c r="C106" s="12" t="str">
        <f>IFERROR(VLOOKUP(B106,concorrenti!A:C,3,0)," ")</f>
        <v xml:space="preserve"> </v>
      </c>
      <c r="D106" s="12" t="e">
        <f>VLOOKUP(B106,concorrenti!A:E,5,0)</f>
        <v>#N/A</v>
      </c>
      <c r="E106" s="12" t="e">
        <f>VLOOKUP(B106,concorrenti!A$1:G$301,2,0)</f>
        <v>#N/A</v>
      </c>
      <c r="F106" s="50">
        <f>IFERROR(VLOOKUP(B106,'Nora Sciplino'!A$12:O$58,15,0),0)</f>
        <v>0</v>
      </c>
      <c r="G106" s="80">
        <f>IFERROR(VLOOKUP(B106,Castellotti!A$12:O$66,15,0),0)</f>
        <v>0</v>
      </c>
      <c r="H106" s="50">
        <f>IFERROR(VLOOKUP(B106,Solidarietà!A:O,14,0),0)</f>
        <v>0</v>
      </c>
      <c r="I106" s="50">
        <v>0</v>
      </c>
      <c r="J106" s="50">
        <v>0</v>
      </c>
      <c r="K106" s="50"/>
      <c r="L106" s="50"/>
      <c r="M106" s="50">
        <v>0</v>
      </c>
      <c r="O106" s="63">
        <f t="shared" si="5"/>
        <v>0</v>
      </c>
      <c r="Q106" s="59">
        <v>1</v>
      </c>
      <c r="R106" s="60">
        <f>VLOOKUP(Q106,Regolamento!G$6:I$14,3,0)</f>
        <v>1</v>
      </c>
      <c r="T106" s="63">
        <f t="shared" si="4"/>
        <v>0</v>
      </c>
      <c r="U106" s="2"/>
    </row>
    <row r="107" spans="1:21" x14ac:dyDescent="0.25">
      <c r="A107">
        <v>103</v>
      </c>
      <c r="B107" s="8"/>
      <c r="C107" s="12" t="str">
        <f>IFERROR(VLOOKUP(B107,concorrenti!A:C,3,0)," ")</f>
        <v xml:space="preserve"> </v>
      </c>
      <c r="D107" s="12" t="e">
        <f>VLOOKUP(B107,concorrenti!A:E,5,0)</f>
        <v>#N/A</v>
      </c>
      <c r="E107" s="12" t="e">
        <f>VLOOKUP(B107,concorrenti!A$1:G$301,2,0)</f>
        <v>#N/A</v>
      </c>
      <c r="F107" s="50">
        <f>IFERROR(VLOOKUP(B107,'Nora Sciplino'!A$12:O$58,15,0),0)</f>
        <v>0</v>
      </c>
      <c r="G107" s="80">
        <f>IFERROR(VLOOKUP(B107,Castellotti!A$12:O$66,15,0),0)</f>
        <v>0</v>
      </c>
      <c r="H107" s="50">
        <f>IFERROR(VLOOKUP(B107,Solidarietà!A:O,14,0),0)</f>
        <v>0</v>
      </c>
      <c r="I107" s="50">
        <v>0</v>
      </c>
      <c r="J107" s="50">
        <v>0</v>
      </c>
      <c r="K107" s="50"/>
      <c r="L107" s="50"/>
      <c r="M107" s="50">
        <v>0</v>
      </c>
      <c r="N107" s="4"/>
      <c r="O107" s="63">
        <f t="shared" si="5"/>
        <v>0</v>
      </c>
      <c r="Q107" s="59">
        <v>1</v>
      </c>
      <c r="R107" s="60">
        <f>VLOOKUP(Q107,Regolamento!G$6:I$14,3,0)</f>
        <v>1</v>
      </c>
      <c r="T107" s="63">
        <f t="shared" si="4"/>
        <v>0</v>
      </c>
      <c r="U107" s="2"/>
    </row>
    <row r="108" spans="1:21" x14ac:dyDescent="0.25">
      <c r="A108">
        <v>104</v>
      </c>
      <c r="B108" s="8"/>
      <c r="C108" s="12" t="str">
        <f>IFERROR(VLOOKUP(B108,concorrenti!A:C,3,0)," ")</f>
        <v xml:space="preserve"> </v>
      </c>
      <c r="D108" s="12" t="e">
        <f>VLOOKUP(B108,concorrenti!A:E,5,0)</f>
        <v>#N/A</v>
      </c>
      <c r="E108" s="12" t="e">
        <f>VLOOKUP(B108,concorrenti!A$1:G$301,2,0)</f>
        <v>#N/A</v>
      </c>
      <c r="F108" s="50">
        <f>IFERROR(VLOOKUP(B108,'Nora Sciplino'!A$12:O$58,15,0),0)</f>
        <v>0</v>
      </c>
      <c r="G108" s="80">
        <f>IFERROR(VLOOKUP(B108,Castellotti!A$12:O$66,15,0),0)</f>
        <v>0</v>
      </c>
      <c r="H108" s="50">
        <f>IFERROR(VLOOKUP(B108,Solidarietà!A:O,14,0),0)</f>
        <v>0</v>
      </c>
      <c r="I108" s="50">
        <v>0</v>
      </c>
      <c r="J108" s="50">
        <v>0</v>
      </c>
      <c r="K108" s="50"/>
      <c r="L108" s="50"/>
      <c r="M108" s="50">
        <v>0</v>
      </c>
      <c r="N108" s="4"/>
      <c r="O108" s="63">
        <f t="shared" si="5"/>
        <v>0</v>
      </c>
      <c r="Q108" s="59">
        <v>1</v>
      </c>
      <c r="R108" s="60">
        <f>VLOOKUP(Q108,Regolamento!G$6:I$14,3,0)</f>
        <v>1</v>
      </c>
      <c r="T108" s="63">
        <f t="shared" si="4"/>
        <v>0</v>
      </c>
      <c r="U108" s="2"/>
    </row>
    <row r="109" spans="1:21" x14ac:dyDescent="0.25">
      <c r="A109">
        <v>105</v>
      </c>
      <c r="B109" s="8"/>
      <c r="C109" s="12" t="str">
        <f>IFERROR(VLOOKUP(B109,concorrenti!A:C,3,0)," ")</f>
        <v xml:space="preserve"> </v>
      </c>
      <c r="D109" s="12" t="e">
        <f>VLOOKUP(B109,concorrenti!A:E,5,0)</f>
        <v>#N/A</v>
      </c>
      <c r="E109" s="12" t="e">
        <f>VLOOKUP(B109,concorrenti!A$1:G$301,2,0)</f>
        <v>#N/A</v>
      </c>
      <c r="F109" s="50">
        <f>IFERROR(VLOOKUP(B109,'Nora Sciplino'!A$12:O$58,15,0),0)</f>
        <v>0</v>
      </c>
      <c r="G109" s="80">
        <f>IFERROR(VLOOKUP(B109,Castellotti!A$12:O$66,15,0),0)</f>
        <v>0</v>
      </c>
      <c r="H109" s="50">
        <f>IFERROR(VLOOKUP(B109,Solidarietà!A:O,14,0),0)</f>
        <v>0</v>
      </c>
      <c r="I109" s="50">
        <v>0</v>
      </c>
      <c r="J109" s="50">
        <v>0</v>
      </c>
      <c r="K109" s="50"/>
      <c r="L109" s="50"/>
      <c r="M109" s="50">
        <v>0</v>
      </c>
      <c r="O109" s="63">
        <f t="shared" si="5"/>
        <v>0</v>
      </c>
      <c r="Q109" s="59">
        <v>1</v>
      </c>
      <c r="R109" s="60">
        <f>VLOOKUP(Q109,Regolamento!G$6:I$14,3,0)</f>
        <v>1</v>
      </c>
      <c r="T109" s="63">
        <f t="shared" si="4"/>
        <v>0</v>
      </c>
      <c r="U109" s="2"/>
    </row>
    <row r="110" spans="1:21" x14ac:dyDescent="0.25">
      <c r="A110">
        <v>106</v>
      </c>
      <c r="B110" s="8"/>
      <c r="C110" s="12" t="str">
        <f>IFERROR(VLOOKUP(B110,concorrenti!A:C,3,0)," ")</f>
        <v xml:space="preserve"> </v>
      </c>
      <c r="D110" s="12" t="e">
        <f>VLOOKUP(B110,concorrenti!A:E,5,0)</f>
        <v>#N/A</v>
      </c>
      <c r="E110" s="12" t="e">
        <f>VLOOKUP(B110,concorrenti!A$1:G$301,2,0)</f>
        <v>#N/A</v>
      </c>
      <c r="F110" s="50">
        <f>IFERROR(VLOOKUP(B110,'Nora Sciplino'!A$12:O$58,15,0),0)</f>
        <v>0</v>
      </c>
      <c r="G110" s="80">
        <f>IFERROR(VLOOKUP(B110,Castellotti!A$12:O$66,15,0),0)</f>
        <v>0</v>
      </c>
      <c r="H110" s="50">
        <f>IFERROR(VLOOKUP(B110,Solidarietà!A:O,14,0),0)</f>
        <v>0</v>
      </c>
      <c r="I110" s="50">
        <v>0</v>
      </c>
      <c r="J110" s="50">
        <v>0</v>
      </c>
      <c r="K110" s="50"/>
      <c r="L110" s="50"/>
      <c r="M110" s="50">
        <v>0</v>
      </c>
      <c r="N110" s="4"/>
      <c r="O110" s="63">
        <f t="shared" si="5"/>
        <v>0</v>
      </c>
      <c r="Q110" s="59">
        <v>1</v>
      </c>
      <c r="R110" s="60">
        <f>VLOOKUP(Q110,Regolamento!G$6:I$14,3,0)</f>
        <v>1</v>
      </c>
      <c r="T110" s="63">
        <f t="shared" si="4"/>
        <v>0</v>
      </c>
      <c r="U110" s="2"/>
    </row>
    <row r="111" spans="1:21" x14ac:dyDescent="0.25">
      <c r="A111">
        <v>107</v>
      </c>
      <c r="B111" s="8"/>
      <c r="C111" s="12" t="str">
        <f>IFERROR(VLOOKUP(B111,concorrenti!A:C,3,0)," ")</f>
        <v xml:space="preserve"> </v>
      </c>
      <c r="D111" s="12" t="e">
        <f>VLOOKUP(B111,concorrenti!A:E,5,0)</f>
        <v>#N/A</v>
      </c>
      <c r="E111" s="12" t="e">
        <f>VLOOKUP(B111,concorrenti!A$1:G$301,2,0)</f>
        <v>#N/A</v>
      </c>
      <c r="F111" s="50">
        <f>IFERROR(VLOOKUP(B111,'Nora Sciplino'!A$12:O$58,15,0),0)</f>
        <v>0</v>
      </c>
      <c r="G111" s="80">
        <f>IFERROR(VLOOKUP(B111,Castellotti!A$12:O$66,15,0),0)</f>
        <v>0</v>
      </c>
      <c r="H111" s="50">
        <f>IFERROR(VLOOKUP(B111,Solidarietà!A:O,14,0),0)</f>
        <v>0</v>
      </c>
      <c r="I111" s="50">
        <v>0</v>
      </c>
      <c r="J111" s="50">
        <v>0</v>
      </c>
      <c r="K111" s="50"/>
      <c r="L111" s="50"/>
      <c r="M111" s="50">
        <v>0</v>
      </c>
      <c r="O111" s="63">
        <f t="shared" si="5"/>
        <v>0</v>
      </c>
      <c r="Q111" s="59">
        <v>1</v>
      </c>
      <c r="R111" s="60">
        <f>VLOOKUP(Q111,Regolamento!G$6:I$14,3,0)</f>
        <v>1</v>
      </c>
      <c r="T111" s="63">
        <f t="shared" si="4"/>
        <v>0</v>
      </c>
      <c r="U111" s="2"/>
    </row>
    <row r="112" spans="1:21" x14ac:dyDescent="0.25">
      <c r="A112">
        <v>108</v>
      </c>
      <c r="B112" s="8"/>
      <c r="C112" s="12" t="str">
        <f>IFERROR(VLOOKUP(B112,concorrenti!A:C,3,0)," ")</f>
        <v xml:space="preserve"> </v>
      </c>
      <c r="D112" s="12" t="e">
        <f>VLOOKUP(B112,concorrenti!A:E,5,0)</f>
        <v>#N/A</v>
      </c>
      <c r="E112" s="12" t="e">
        <f>VLOOKUP(B112,concorrenti!A$1:G$301,2,0)</f>
        <v>#N/A</v>
      </c>
      <c r="F112" s="50">
        <f>IFERROR(VLOOKUP(B112,'Nora Sciplino'!A$12:O$58,15,0),0)</f>
        <v>0</v>
      </c>
      <c r="G112" s="80">
        <f>IFERROR(VLOOKUP(B112,Castellotti!A$12:O$66,15,0),0)</f>
        <v>0</v>
      </c>
      <c r="H112" s="50">
        <f>IFERROR(VLOOKUP(B112,Solidarietà!A:O,14,0),0)</f>
        <v>0</v>
      </c>
      <c r="I112" s="50">
        <v>0</v>
      </c>
      <c r="J112" s="50">
        <v>0</v>
      </c>
      <c r="K112" s="50"/>
      <c r="L112" s="50"/>
      <c r="M112" s="50">
        <v>0</v>
      </c>
      <c r="N112" s="4"/>
      <c r="O112" s="63">
        <f t="shared" si="5"/>
        <v>0</v>
      </c>
      <c r="Q112" s="59">
        <v>1</v>
      </c>
      <c r="R112" s="60">
        <f>VLOOKUP(Q112,Regolamento!G$6:I$14,3,0)</f>
        <v>1</v>
      </c>
      <c r="T112" s="63">
        <f t="shared" si="4"/>
        <v>0</v>
      </c>
      <c r="U112" s="2"/>
    </row>
    <row r="113" spans="1:21" x14ac:dyDescent="0.25">
      <c r="A113">
        <v>109</v>
      </c>
      <c r="B113" s="8"/>
      <c r="C113" s="12" t="str">
        <f>IFERROR(VLOOKUP(B113,concorrenti!A:C,3,0)," ")</f>
        <v xml:space="preserve"> </v>
      </c>
      <c r="D113" s="12" t="e">
        <f>VLOOKUP(B113,concorrenti!A:E,5,0)</f>
        <v>#N/A</v>
      </c>
      <c r="E113" s="12" t="e">
        <f>VLOOKUP(B113,concorrenti!A$1:G$301,2,0)</f>
        <v>#N/A</v>
      </c>
      <c r="F113" s="50">
        <f>IFERROR(VLOOKUP(B113,'Nora Sciplino'!A$12:O$58,15,0),0)</f>
        <v>0</v>
      </c>
      <c r="G113" s="80">
        <f>IFERROR(VLOOKUP(B113,Castellotti!A$12:O$66,15,0),0)</f>
        <v>0</v>
      </c>
      <c r="H113" s="50">
        <f>IFERROR(VLOOKUP(B113,Solidarietà!A:O,14,0),0)</f>
        <v>0</v>
      </c>
      <c r="I113" s="50">
        <v>0</v>
      </c>
      <c r="J113" s="50">
        <v>0</v>
      </c>
      <c r="K113" s="50"/>
      <c r="L113" s="50"/>
      <c r="M113" s="50">
        <v>0</v>
      </c>
      <c r="O113" s="63">
        <f t="shared" si="5"/>
        <v>0</v>
      </c>
      <c r="Q113" s="59">
        <v>1</v>
      </c>
      <c r="R113" s="60">
        <f>VLOOKUP(Q113,Regolamento!G$6:I$14,3,0)</f>
        <v>1</v>
      </c>
      <c r="T113" s="63">
        <f t="shared" si="4"/>
        <v>0</v>
      </c>
      <c r="U113" s="2"/>
    </row>
    <row r="114" spans="1:21" x14ac:dyDescent="0.25">
      <c r="A114">
        <v>110</v>
      </c>
      <c r="B114" s="8"/>
      <c r="C114" s="12" t="str">
        <f>IFERROR(VLOOKUP(B114,concorrenti!A:C,3,0)," ")</f>
        <v xml:space="preserve"> </v>
      </c>
      <c r="D114" s="12" t="e">
        <f>VLOOKUP(B114,concorrenti!A:E,5,0)</f>
        <v>#N/A</v>
      </c>
      <c r="E114" s="12" t="e">
        <f>VLOOKUP(B114,concorrenti!A$1:G$301,2,0)</f>
        <v>#N/A</v>
      </c>
      <c r="F114" s="50">
        <f>IFERROR(VLOOKUP(B114,'Nora Sciplino'!A$12:O$58,15,0),0)</f>
        <v>0</v>
      </c>
      <c r="G114" s="80">
        <f>IFERROR(VLOOKUP(B114,Castellotti!A$12:O$66,15,0),0)</f>
        <v>0</v>
      </c>
      <c r="H114" s="50">
        <f>IFERROR(VLOOKUP(B114,Solidarietà!A:O,14,0),0)</f>
        <v>0</v>
      </c>
      <c r="I114" s="50">
        <v>0</v>
      </c>
      <c r="J114" s="50">
        <v>0</v>
      </c>
      <c r="K114" s="50"/>
      <c r="L114" s="50"/>
      <c r="M114" s="50">
        <v>0</v>
      </c>
      <c r="O114" s="63">
        <f t="shared" si="5"/>
        <v>0</v>
      </c>
      <c r="Q114" s="59">
        <v>1</v>
      </c>
      <c r="R114" s="60">
        <f>VLOOKUP(Q114,Regolamento!G$6:I$14,3,0)</f>
        <v>1</v>
      </c>
      <c r="T114" s="63">
        <f t="shared" si="4"/>
        <v>0</v>
      </c>
      <c r="U114" s="2"/>
    </row>
    <row r="115" spans="1:21" x14ac:dyDescent="0.25">
      <c r="F115" s="51"/>
      <c r="G115" s="52"/>
      <c r="H115" s="52"/>
      <c r="I115" s="52"/>
      <c r="J115" s="52"/>
      <c r="K115" s="52"/>
      <c r="L115" s="52"/>
      <c r="M115" s="52"/>
      <c r="O115" s="64"/>
      <c r="Q115" s="75" t="s">
        <v>7</v>
      </c>
      <c r="R115" s="61"/>
      <c r="T115" s="51"/>
    </row>
    <row r="119" spans="1:21" x14ac:dyDescent="0.25">
      <c r="B119" s="77" t="s">
        <v>187</v>
      </c>
      <c r="F119" s="37" t="s">
        <v>67</v>
      </c>
      <c r="G119" s="41" t="s">
        <v>100</v>
      </c>
      <c r="H119" s="38" t="s">
        <v>115</v>
      </c>
      <c r="I119" s="43" t="s">
        <v>116</v>
      </c>
      <c r="J119" s="45" t="s">
        <v>117</v>
      </c>
      <c r="K119" s="67" t="s">
        <v>118</v>
      </c>
      <c r="L119" s="69" t="s">
        <v>119</v>
      </c>
      <c r="M119" s="47" t="s">
        <v>19</v>
      </c>
      <c r="O119" s="53" t="s">
        <v>20</v>
      </c>
    </row>
    <row r="120" spans="1:21" x14ac:dyDescent="0.25">
      <c r="B120" t="s">
        <v>186</v>
      </c>
      <c r="F120" s="39"/>
      <c r="G120" s="42"/>
      <c r="H120" s="40"/>
      <c r="I120" s="44"/>
      <c r="J120" s="46"/>
      <c r="K120" s="68"/>
      <c r="L120" s="70"/>
      <c r="M120" s="48"/>
      <c r="O120" s="54" t="s">
        <v>11</v>
      </c>
    </row>
    <row r="121" spans="1:21" x14ac:dyDescent="0.25">
      <c r="A121">
        <v>1</v>
      </c>
      <c r="B121" s="76" t="s">
        <v>100</v>
      </c>
      <c r="E121" t="s">
        <v>178</v>
      </c>
      <c r="F121" s="82">
        <v>12</v>
      </c>
      <c r="G121" s="83">
        <v>15</v>
      </c>
      <c r="H121" s="83"/>
      <c r="I121" s="84"/>
      <c r="J121" s="83"/>
      <c r="K121" s="84"/>
      <c r="L121" s="83"/>
      <c r="M121" s="85"/>
      <c r="O121" s="62">
        <f t="shared" ref="O121:O131" si="6">SUBTOTAL(9,F121:M121)</f>
        <v>27</v>
      </c>
    </row>
    <row r="122" spans="1:21" x14ac:dyDescent="0.25">
      <c r="A122">
        <v>2</v>
      </c>
      <c r="B122" t="s">
        <v>66</v>
      </c>
      <c r="E122" t="s">
        <v>183</v>
      </c>
      <c r="F122" s="86">
        <v>15</v>
      </c>
      <c r="G122" s="87">
        <v>8</v>
      </c>
      <c r="H122" s="87"/>
      <c r="I122" s="90"/>
      <c r="J122" s="87"/>
      <c r="K122" s="90"/>
      <c r="L122" s="87"/>
      <c r="M122" s="89"/>
      <c r="O122" s="63">
        <f t="shared" si="6"/>
        <v>23</v>
      </c>
    </row>
    <row r="123" spans="1:21" x14ac:dyDescent="0.25">
      <c r="A123">
        <v>3</v>
      </c>
      <c r="B123" t="s">
        <v>68</v>
      </c>
      <c r="E123" t="s">
        <v>179</v>
      </c>
      <c r="F123" s="86">
        <v>8</v>
      </c>
      <c r="G123" s="87">
        <v>10</v>
      </c>
      <c r="H123" s="87"/>
      <c r="I123" s="88"/>
      <c r="J123" s="87"/>
      <c r="K123" s="88"/>
      <c r="L123" s="87"/>
      <c r="M123" s="89"/>
      <c r="O123" s="63">
        <f t="shared" si="6"/>
        <v>18</v>
      </c>
    </row>
    <row r="124" spans="1:21" x14ac:dyDescent="0.25">
      <c r="A124">
        <v>4</v>
      </c>
      <c r="B124" t="s">
        <v>99</v>
      </c>
      <c r="E124" t="s">
        <v>180</v>
      </c>
      <c r="F124" s="86">
        <v>10</v>
      </c>
      <c r="G124" s="87">
        <v>7</v>
      </c>
      <c r="H124" s="87"/>
      <c r="I124" s="88"/>
      <c r="J124" s="87"/>
      <c r="K124" s="88"/>
      <c r="L124" s="87"/>
      <c r="M124" s="89"/>
      <c r="O124" s="63">
        <f t="shared" si="6"/>
        <v>17</v>
      </c>
    </row>
    <row r="125" spans="1:21" x14ac:dyDescent="0.25">
      <c r="A125">
        <v>5</v>
      </c>
      <c r="B125" t="s">
        <v>176</v>
      </c>
      <c r="E125" t="s">
        <v>184</v>
      </c>
      <c r="F125" s="86">
        <f>SUMIF(E$5:E$114,B125,F$5:F$114)</f>
        <v>0</v>
      </c>
      <c r="G125" s="87">
        <v>12</v>
      </c>
      <c r="H125" s="87"/>
      <c r="I125" s="90"/>
      <c r="J125" s="87"/>
      <c r="K125" s="90"/>
      <c r="L125" s="87"/>
      <c r="M125" s="89"/>
      <c r="O125" s="63">
        <f t="shared" si="6"/>
        <v>12</v>
      </c>
    </row>
    <row r="126" spans="1:21" x14ac:dyDescent="0.25">
      <c r="A126">
        <v>6</v>
      </c>
      <c r="B126" t="s">
        <v>101</v>
      </c>
      <c r="E126" t="s">
        <v>182</v>
      </c>
      <c r="F126" s="86">
        <v>7</v>
      </c>
      <c r="G126" s="87">
        <v>4</v>
      </c>
      <c r="H126" s="87"/>
      <c r="I126" s="88"/>
      <c r="J126" s="87"/>
      <c r="K126" s="88"/>
      <c r="L126" s="87"/>
      <c r="M126" s="89"/>
      <c r="O126" s="63">
        <f t="shared" si="6"/>
        <v>11</v>
      </c>
    </row>
    <row r="127" spans="1:21" x14ac:dyDescent="0.25">
      <c r="A127">
        <v>7</v>
      </c>
      <c r="B127" t="s">
        <v>171</v>
      </c>
      <c r="E127" t="s">
        <v>177</v>
      </c>
      <c r="F127" s="86">
        <f>SUMIF(E$5:E$114,B127,F$5:F$114)</f>
        <v>0</v>
      </c>
      <c r="G127" s="87">
        <v>6</v>
      </c>
      <c r="H127" s="87"/>
      <c r="I127" s="88"/>
      <c r="J127" s="87"/>
      <c r="K127" s="88"/>
      <c r="L127" s="87"/>
      <c r="M127" s="89"/>
      <c r="O127" s="63">
        <f t="shared" si="6"/>
        <v>6</v>
      </c>
    </row>
    <row r="128" spans="1:21" x14ac:dyDescent="0.25">
      <c r="A128">
        <v>8</v>
      </c>
      <c r="B128" t="s">
        <v>172</v>
      </c>
      <c r="E128" t="s">
        <v>211</v>
      </c>
      <c r="F128" s="86">
        <f>SUMIF(E$5:E$114,B128,F$5:F$114)</f>
        <v>0</v>
      </c>
      <c r="G128" s="87">
        <v>5</v>
      </c>
      <c r="H128" s="87"/>
      <c r="I128" s="88"/>
      <c r="J128" s="87"/>
      <c r="K128" s="88"/>
      <c r="L128" s="87"/>
      <c r="M128" s="89"/>
      <c r="O128" s="63">
        <f t="shared" si="6"/>
        <v>5</v>
      </c>
    </row>
    <row r="129" spans="1:15" x14ac:dyDescent="0.25">
      <c r="A129">
        <v>9</v>
      </c>
      <c r="B129" t="s">
        <v>173</v>
      </c>
      <c r="E129" t="s">
        <v>179</v>
      </c>
      <c r="F129" s="86">
        <f>SUMIF(E$5:E$114,B129,F$5:F$114)</f>
        <v>2.7554999999999996</v>
      </c>
      <c r="G129" s="87">
        <v>2</v>
      </c>
      <c r="H129" s="87"/>
      <c r="I129" s="90"/>
      <c r="J129" s="87"/>
      <c r="K129" s="90"/>
      <c r="L129" s="87"/>
      <c r="M129" s="89"/>
      <c r="O129" s="63">
        <f t="shared" si="6"/>
        <v>4.7554999999999996</v>
      </c>
    </row>
    <row r="130" spans="1:15" x14ac:dyDescent="0.25">
      <c r="A130">
        <v>10</v>
      </c>
      <c r="B130" t="s">
        <v>174</v>
      </c>
      <c r="E130" t="s">
        <v>181</v>
      </c>
      <c r="F130" s="86">
        <f>SUMIF(E$5:E$114,B130,F$5:F$114)</f>
        <v>0</v>
      </c>
      <c r="G130" s="87"/>
      <c r="H130" s="87"/>
      <c r="I130" s="88"/>
      <c r="J130" s="87"/>
      <c r="K130" s="88"/>
      <c r="L130" s="87"/>
      <c r="M130" s="89"/>
      <c r="O130" s="63">
        <f t="shared" si="6"/>
        <v>0</v>
      </c>
    </row>
    <row r="131" spans="1:15" x14ac:dyDescent="0.25">
      <c r="A131">
        <v>11</v>
      </c>
      <c r="B131" t="s">
        <v>175</v>
      </c>
      <c r="E131" t="s">
        <v>180</v>
      </c>
      <c r="F131" s="91">
        <f>SUMIF(E$5:E$114,B131,F$5:F$114)</f>
        <v>0</v>
      </c>
      <c r="G131" s="92"/>
      <c r="H131" s="92"/>
      <c r="I131" s="93"/>
      <c r="J131" s="92"/>
      <c r="K131" s="93"/>
      <c r="L131" s="92"/>
      <c r="M131" s="94"/>
      <c r="O131" s="64">
        <f t="shared" si="6"/>
        <v>0</v>
      </c>
    </row>
    <row r="132" spans="1:15" x14ac:dyDescent="0.25">
      <c r="F132" s="6" t="s">
        <v>7</v>
      </c>
    </row>
  </sheetData>
  <sortState xmlns:xlrd2="http://schemas.microsoft.com/office/spreadsheetml/2017/richdata2" ref="B5:T91">
    <sortCondition descending="1" ref="T5:T91"/>
  </sortState>
  <mergeCells count="1">
    <mergeCell ref="Q1:R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8"/>
  <sheetViews>
    <sheetView topLeftCell="A37" workbookViewId="0">
      <selection activeCell="A52" sqref="A52:XFD52"/>
    </sheetView>
  </sheetViews>
  <sheetFormatPr defaultRowHeight="14.3" x14ac:dyDescent="0.25"/>
  <cols>
    <col min="1" max="1" width="31.375" style="8" bestFit="1" customWidth="1"/>
    <col min="2" max="2" width="17.875" style="8" bestFit="1" customWidth="1"/>
    <col min="3" max="3" width="4.25" style="65" bestFit="1" customWidth="1"/>
    <col min="4" max="4" width="9.25" style="65" bestFit="1" customWidth="1"/>
    <col min="5" max="5" width="9.375" style="65" customWidth="1"/>
    <col min="6" max="6" width="3.625" style="8" customWidth="1"/>
    <col min="7" max="7" width="11.125" style="65" bestFit="1" customWidth="1"/>
    <col min="8" max="8" width="26.875" style="8" customWidth="1"/>
    <col min="9" max="9" width="11.875" style="104" bestFit="1" customWidth="1"/>
    <col min="10" max="10" width="9" style="4"/>
  </cols>
  <sheetData>
    <row r="1" spans="1:10" s="2" customFormat="1" x14ac:dyDescent="0.25">
      <c r="A1" s="71" t="s">
        <v>44</v>
      </c>
      <c r="B1" s="72" t="s">
        <v>97</v>
      </c>
      <c r="C1" s="72" t="s">
        <v>45</v>
      </c>
      <c r="D1" s="72" t="s">
        <v>63</v>
      </c>
      <c r="E1" s="72" t="s">
        <v>46</v>
      </c>
      <c r="F1" s="72"/>
      <c r="G1" s="72" t="s">
        <v>96</v>
      </c>
      <c r="H1" s="71"/>
      <c r="I1" s="103"/>
      <c r="J1" s="6"/>
    </row>
    <row r="2" spans="1:10" x14ac:dyDescent="0.25">
      <c r="A2" s="8" t="s">
        <v>41</v>
      </c>
      <c r="B2" s="8" t="s">
        <v>101</v>
      </c>
      <c r="C2" s="65" t="s">
        <v>120</v>
      </c>
      <c r="I2" s="104">
        <f>VLOOKUP(A2,'Nora Sciplino'!A$12:Q$58,17,0)</f>
        <v>48.215384615384615</v>
      </c>
      <c r="J2" s="4" t="e">
        <f>VLOOKUP(A2,Castellotti!A:Q,17,0)</f>
        <v>#N/A</v>
      </c>
    </row>
    <row r="3" spans="1:10" x14ac:dyDescent="0.25">
      <c r="A3" s="8" t="s">
        <v>199</v>
      </c>
      <c r="B3" s="8" t="s">
        <v>100</v>
      </c>
      <c r="C3" s="65" t="s">
        <v>120</v>
      </c>
      <c r="I3" s="104" t="e">
        <f>VLOOKUP(A3,'Nora Sciplino'!A$12:Q$58,17,0)</f>
        <v>#N/A</v>
      </c>
      <c r="J3" s="4">
        <f>VLOOKUP(A3,Castellotti!A:Q,17,0)</f>
        <v>24.384615384615383</v>
      </c>
    </row>
    <row r="4" spans="1:10" x14ac:dyDescent="0.25">
      <c r="A4" s="8" t="s">
        <v>201</v>
      </c>
      <c r="B4" s="8" t="s">
        <v>100</v>
      </c>
      <c r="C4" s="65" t="s">
        <v>120</v>
      </c>
      <c r="E4" s="65" t="s">
        <v>71</v>
      </c>
      <c r="I4" s="104" t="e">
        <f>VLOOKUP(A4,'Nora Sciplino'!A$12:Q$58,17,0)</f>
        <v>#N/A</v>
      </c>
      <c r="J4" s="4">
        <f>VLOOKUP(A4,Castellotti!A:Q,17,0)</f>
        <v>91.753846153846155</v>
      </c>
    </row>
    <row r="5" spans="1:10" x14ac:dyDescent="0.25">
      <c r="A5" s="8" t="s">
        <v>225</v>
      </c>
      <c r="B5" s="8" t="s">
        <v>176</v>
      </c>
      <c r="C5" s="65" t="s">
        <v>33</v>
      </c>
      <c r="I5" s="104" t="e">
        <f>VLOOKUP(A5,'Nora Sciplino'!A$12:Q$58,17,0)</f>
        <v>#N/A</v>
      </c>
      <c r="J5" s="4">
        <f>VLOOKUP(A5,Castellotti!A:Q,17,0)</f>
        <v>6.0615384615384613</v>
      </c>
    </row>
    <row r="6" spans="1:10" x14ac:dyDescent="0.25">
      <c r="A6" s="8" t="s">
        <v>216</v>
      </c>
      <c r="B6" t="s">
        <v>172</v>
      </c>
      <c r="C6" s="65" t="s">
        <v>120</v>
      </c>
      <c r="I6" s="104" t="e">
        <f>VLOOKUP(A6,'Nora Sciplino'!A$12:Q$58,17,0)</f>
        <v>#N/A</v>
      </c>
      <c r="J6" s="4">
        <f>VLOOKUP(A6,Castellotti!A:Q,17,0)</f>
        <v>54.753846153846155</v>
      </c>
    </row>
    <row r="7" spans="1:10" x14ac:dyDescent="0.25">
      <c r="A7" s="8" t="s">
        <v>13</v>
      </c>
      <c r="B7" s="8" t="s">
        <v>66</v>
      </c>
      <c r="C7" s="65" t="s">
        <v>33</v>
      </c>
      <c r="I7" s="104">
        <f>VLOOKUP(A7,'Nora Sciplino'!A$12:Q$58,17,0)</f>
        <v>13.061538461538461</v>
      </c>
      <c r="J7" s="4" t="e">
        <f>VLOOKUP(A7,Castellotti!A:Q,17,0)</f>
        <v>#N/A</v>
      </c>
    </row>
    <row r="8" spans="1:10" s="16" customFormat="1" x14ac:dyDescent="0.25">
      <c r="A8" s="8" t="s">
        <v>200</v>
      </c>
      <c r="B8" s="8" t="s">
        <v>100</v>
      </c>
      <c r="C8" s="65" t="s">
        <v>120</v>
      </c>
      <c r="D8" s="65"/>
      <c r="E8" s="65"/>
      <c r="F8" s="8"/>
      <c r="G8" s="65"/>
      <c r="H8" s="8"/>
      <c r="I8" s="104" t="e">
        <f>VLOOKUP(A8,'Nora Sciplino'!A$12:Q$58,17,0)</f>
        <v>#N/A</v>
      </c>
      <c r="J8" s="4">
        <f>VLOOKUP(A8,Castellotti!A:Q,17,0)</f>
        <v>106.27692307692308</v>
      </c>
    </row>
    <row r="9" spans="1:10" x14ac:dyDescent="0.25">
      <c r="A9" s="8" t="s">
        <v>208</v>
      </c>
      <c r="B9" s="8" t="s">
        <v>100</v>
      </c>
      <c r="C9" s="65" t="s">
        <v>120</v>
      </c>
      <c r="I9" s="104" t="e">
        <f>VLOOKUP(A9,'Nora Sciplino'!A$12:Q$58,17,0)</f>
        <v>#N/A</v>
      </c>
      <c r="J9" s="4">
        <f>VLOOKUP(A9,Castellotti!A:Q,17,0)</f>
        <v>29.276923076923076</v>
      </c>
    </row>
    <row r="10" spans="1:10" x14ac:dyDescent="0.25">
      <c r="A10" s="8" t="s">
        <v>193</v>
      </c>
      <c r="B10" s="8" t="s">
        <v>100</v>
      </c>
      <c r="C10" s="65" t="s">
        <v>120</v>
      </c>
      <c r="I10" s="104" t="e">
        <f>VLOOKUP(A10,'Nora Sciplino'!A$12:Q$58,17,0)</f>
        <v>#N/A</v>
      </c>
      <c r="J10" s="4">
        <f>VLOOKUP(A10,Castellotti!A:Q,17,0)</f>
        <v>31.984615384615385</v>
      </c>
    </row>
    <row r="11" spans="1:10" x14ac:dyDescent="0.25">
      <c r="A11" s="8" t="s">
        <v>223</v>
      </c>
      <c r="B11" s="8" t="s">
        <v>176</v>
      </c>
      <c r="C11" s="65" t="s">
        <v>33</v>
      </c>
      <c r="I11" s="104" t="e">
        <f>VLOOKUP(A11,'Nora Sciplino'!A$12:Q$58,17,0)</f>
        <v>#N/A</v>
      </c>
      <c r="J11" s="4">
        <f>VLOOKUP(A11,Castellotti!A:Q,17,0)</f>
        <v>2.8923076923076922</v>
      </c>
    </row>
    <row r="12" spans="1:10" x14ac:dyDescent="0.25">
      <c r="A12" s="8" t="s">
        <v>195</v>
      </c>
      <c r="B12" s="8" t="s">
        <v>100</v>
      </c>
      <c r="C12" s="65" t="s">
        <v>120</v>
      </c>
      <c r="I12" s="104" t="e">
        <f>VLOOKUP(A12,'Nora Sciplino'!A$12:Q$58,17,0)</f>
        <v>#N/A</v>
      </c>
      <c r="J12" s="4">
        <f>VLOOKUP(A12,Castellotti!A:Q,17,0)</f>
        <v>49.630769230769232</v>
      </c>
    </row>
    <row r="13" spans="1:10" x14ac:dyDescent="0.25">
      <c r="A13" s="8" t="s">
        <v>29</v>
      </c>
      <c r="B13" s="8" t="s">
        <v>99</v>
      </c>
      <c r="C13" s="65" t="s">
        <v>33</v>
      </c>
      <c r="I13" s="104">
        <f>VLOOKUP(A13,'Nora Sciplino'!A$12:Q$58,17,0)</f>
        <v>6.4923076923076923</v>
      </c>
      <c r="J13" s="4" t="e">
        <f>VLOOKUP(A13,Castellotti!A:Q,17,0)</f>
        <v>#N/A</v>
      </c>
    </row>
    <row r="14" spans="1:10" x14ac:dyDescent="0.25">
      <c r="A14" s="8" t="s">
        <v>218</v>
      </c>
      <c r="B14" s="8" t="s">
        <v>99</v>
      </c>
      <c r="C14" s="65" t="s">
        <v>33</v>
      </c>
      <c r="E14" s="65" t="s">
        <v>71</v>
      </c>
      <c r="I14" s="104" t="e">
        <f>VLOOKUP(A14,'Nora Sciplino'!A$12:Q$58,17,0)</f>
        <v>#N/A</v>
      </c>
      <c r="J14" s="4">
        <f>VLOOKUP(A14,Castellotti!A:Q,17,0)</f>
        <v>4.0153846153846153</v>
      </c>
    </row>
    <row r="15" spans="1:10" x14ac:dyDescent="0.25">
      <c r="A15" s="8" t="s">
        <v>18</v>
      </c>
      <c r="B15" s="8" t="s">
        <v>66</v>
      </c>
      <c r="C15" s="65" t="s">
        <v>120</v>
      </c>
      <c r="I15" s="104">
        <f>VLOOKUP(A15,'Nora Sciplino'!A$12:Q$58,17,0)</f>
        <v>28.6</v>
      </c>
      <c r="J15" s="4">
        <f>VLOOKUP(A15,Castellotti!A:Q,17,0)</f>
        <v>26.753846153846155</v>
      </c>
    </row>
    <row r="16" spans="1:10" x14ac:dyDescent="0.25">
      <c r="A16" s="8" t="s">
        <v>93</v>
      </c>
      <c r="B16" s="8" t="s">
        <v>66</v>
      </c>
      <c r="C16" s="65" t="s">
        <v>120</v>
      </c>
      <c r="G16" s="65" t="s">
        <v>98</v>
      </c>
      <c r="I16" s="104">
        <f>VLOOKUP(A16,'Nora Sciplino'!A$12:Q$58,17,0)</f>
        <v>152.58461538461538</v>
      </c>
      <c r="J16" s="4" t="e">
        <f>VLOOKUP(A16,Castellotti!A:Q,17,0)</f>
        <v>#N/A</v>
      </c>
    </row>
    <row r="17" spans="1:10" x14ac:dyDescent="0.25">
      <c r="A17" s="8" t="s">
        <v>76</v>
      </c>
      <c r="B17" s="8" t="s">
        <v>100</v>
      </c>
      <c r="C17" s="65" t="s">
        <v>33</v>
      </c>
      <c r="I17" s="104">
        <f>VLOOKUP(A17,'Nora Sciplino'!A$12:Q$58,17,0)</f>
        <v>8.9230769230769234</v>
      </c>
      <c r="J17" s="4">
        <f>VLOOKUP(A17,Castellotti!A:Q,17,0)</f>
        <v>5.8</v>
      </c>
    </row>
    <row r="18" spans="1:10" x14ac:dyDescent="0.25">
      <c r="A18" s="8" t="s">
        <v>84</v>
      </c>
      <c r="B18" s="8" t="s">
        <v>100</v>
      </c>
      <c r="C18" s="65" t="s">
        <v>120</v>
      </c>
      <c r="I18" s="104">
        <f>VLOOKUP(A18,'Nora Sciplino'!A$12:Q$58,17,0)</f>
        <v>35.492307692307691</v>
      </c>
      <c r="J18" s="4">
        <f>VLOOKUP(A18,Castellotti!A:Q,17,0)</f>
        <v>45.938461538461539</v>
      </c>
    </row>
    <row r="19" spans="1:10" x14ac:dyDescent="0.25">
      <c r="A19" s="8" t="s">
        <v>90</v>
      </c>
      <c r="B19" s="8" t="s">
        <v>66</v>
      </c>
      <c r="C19" s="65" t="s">
        <v>120</v>
      </c>
      <c r="I19" s="104">
        <f>VLOOKUP(A19,'Nora Sciplino'!A$12:Q$58,17,0)</f>
        <v>100.15384615384616</v>
      </c>
      <c r="J19" s="4" t="e">
        <f>VLOOKUP(A19,Castellotti!A:Q,17,0)</f>
        <v>#N/A</v>
      </c>
    </row>
    <row r="20" spans="1:10" x14ac:dyDescent="0.25">
      <c r="A20" s="8" t="s">
        <v>91</v>
      </c>
      <c r="B20" s="8" t="s">
        <v>100</v>
      </c>
      <c r="C20" s="65" t="s">
        <v>120</v>
      </c>
      <c r="I20" s="104">
        <f>VLOOKUP(A20,'Nora Sciplino'!A$12:Q$58,17,0)</f>
        <v>97.523076923076928</v>
      </c>
      <c r="J20" s="4">
        <f>VLOOKUP(A20,Castellotti!A:Q,17,0)</f>
        <v>90.507692307692309</v>
      </c>
    </row>
    <row r="21" spans="1:10" x14ac:dyDescent="0.25">
      <c r="A21" s="8" t="s">
        <v>27</v>
      </c>
      <c r="B21" s="8" t="s">
        <v>66</v>
      </c>
      <c r="C21" s="65" t="s">
        <v>33</v>
      </c>
      <c r="I21" s="104">
        <f>VLOOKUP(A21,'Nora Sciplino'!A$12:Q$58,17,0)</f>
        <v>3.8307692307692309</v>
      </c>
      <c r="J21" s="4" t="e">
        <f>VLOOKUP(A21,Castellotti!A:Q,17,0)</f>
        <v>#N/A</v>
      </c>
    </row>
    <row r="22" spans="1:10" x14ac:dyDescent="0.25">
      <c r="A22" s="8" t="s">
        <v>94</v>
      </c>
      <c r="B22" s="8" t="s">
        <v>101</v>
      </c>
      <c r="C22" s="65" t="s">
        <v>120</v>
      </c>
      <c r="I22" s="104">
        <f>VLOOKUP(A22,'Nora Sciplino'!A$12:Q$58,17,0)</f>
        <v>187.87692307692308</v>
      </c>
      <c r="J22" s="4" t="e">
        <f>VLOOKUP(A22,Castellotti!A:Q,17,0)</f>
        <v>#N/A</v>
      </c>
    </row>
    <row r="23" spans="1:10" x14ac:dyDescent="0.25">
      <c r="A23" s="8" t="s">
        <v>89</v>
      </c>
      <c r="B23" s="8" t="s">
        <v>66</v>
      </c>
      <c r="C23" s="65" t="s">
        <v>120</v>
      </c>
      <c r="I23" s="104">
        <f>VLOOKUP(A23,'Nora Sciplino'!A$12:Q$58,17,0)</f>
        <v>76.015384615384619</v>
      </c>
      <c r="J23" s="4" t="e">
        <f>VLOOKUP(A23,Castellotti!A:Q,17,0)</f>
        <v>#N/A</v>
      </c>
    </row>
    <row r="24" spans="1:10" x14ac:dyDescent="0.25">
      <c r="A24" s="8" t="s">
        <v>194</v>
      </c>
      <c r="B24" s="8" t="s">
        <v>100</v>
      </c>
      <c r="C24" s="65" t="s">
        <v>120</v>
      </c>
      <c r="E24" s="65" t="s">
        <v>71</v>
      </c>
      <c r="I24" s="104" t="e">
        <f>VLOOKUP(A24,'Nora Sciplino'!A$12:Q$58,17,0)</f>
        <v>#N/A</v>
      </c>
      <c r="J24" s="4">
        <f>VLOOKUP(A24,Castellotti!A:Q,17,0)</f>
        <v>73.046153846153842</v>
      </c>
    </row>
    <row r="25" spans="1:10" x14ac:dyDescent="0.25">
      <c r="A25" s="8" t="s">
        <v>79</v>
      </c>
      <c r="B25" s="8" t="s">
        <v>66</v>
      </c>
      <c r="C25" s="65" t="s">
        <v>34</v>
      </c>
      <c r="G25" s="65" t="s">
        <v>98</v>
      </c>
      <c r="I25" s="104">
        <f>VLOOKUP(A25,'Nora Sciplino'!A$12:Q$58,17,0)</f>
        <v>10.969230769230769</v>
      </c>
      <c r="J25" s="4" t="e">
        <f>VLOOKUP(A25,Castellotti!A:Q,17,0)</f>
        <v>#N/A</v>
      </c>
    </row>
    <row r="26" spans="1:10" x14ac:dyDescent="0.25">
      <c r="A26" s="8" t="s">
        <v>24</v>
      </c>
      <c r="B26" s="8" t="s">
        <v>66</v>
      </c>
      <c r="C26" s="65" t="s">
        <v>120</v>
      </c>
      <c r="I26" s="104">
        <f>VLOOKUP(A26,'Nora Sciplino'!A$12:Q$58,17,0)</f>
        <v>25.615384615384617</v>
      </c>
      <c r="J26" s="4" t="e">
        <f>VLOOKUP(A26,Castellotti!A:Q,17,0)</f>
        <v>#N/A</v>
      </c>
    </row>
    <row r="27" spans="1:10" x14ac:dyDescent="0.25">
      <c r="A27" s="8" t="s">
        <v>73</v>
      </c>
      <c r="B27" s="8" t="s">
        <v>66</v>
      </c>
      <c r="C27" s="65" t="s">
        <v>33</v>
      </c>
      <c r="I27" s="104">
        <f>VLOOKUP(A27,'Nora Sciplino'!A$12:Q$58,17,0)</f>
        <v>7.046153846153846</v>
      </c>
      <c r="J27" s="4" t="e">
        <f>VLOOKUP(A27,Castellotti!A:Q,17,0)</f>
        <v>#N/A</v>
      </c>
    </row>
    <row r="28" spans="1:10" x14ac:dyDescent="0.25">
      <c r="A28" s="8" t="s">
        <v>22</v>
      </c>
      <c r="B28" s="8" t="s">
        <v>66</v>
      </c>
      <c r="C28" s="65" t="s">
        <v>33</v>
      </c>
      <c r="I28" s="104">
        <f>VLOOKUP(A28,'Nora Sciplino'!A$12:Q$58,17,0)</f>
        <v>4.9230769230769234</v>
      </c>
      <c r="J28" s="4" t="e">
        <f>VLOOKUP(A28,Castellotti!A:Q,17,0)</f>
        <v>#N/A</v>
      </c>
    </row>
    <row r="29" spans="1:10" x14ac:dyDescent="0.25">
      <c r="A29" s="8" t="s">
        <v>78</v>
      </c>
      <c r="B29" s="8" t="s">
        <v>101</v>
      </c>
      <c r="C29" s="65" t="s">
        <v>34</v>
      </c>
      <c r="I29" s="104">
        <f>VLOOKUP(A29,'Nora Sciplino'!A$12:Q$58,17,0)</f>
        <v>9.7538461538461547</v>
      </c>
      <c r="J29" s="4" t="e">
        <f>VLOOKUP(A29,Castellotti!A:Q,17,0)</f>
        <v>#N/A</v>
      </c>
    </row>
    <row r="30" spans="1:10" x14ac:dyDescent="0.25">
      <c r="A30" s="8" t="s">
        <v>95</v>
      </c>
      <c r="B30" s="8" t="s">
        <v>101</v>
      </c>
      <c r="C30" s="65" t="s">
        <v>120</v>
      </c>
      <c r="I30" s="104">
        <f>VLOOKUP(A30,'Nora Sciplino'!A$12:Q$58,17,0)</f>
        <v>263.26153846153846</v>
      </c>
      <c r="J30" s="4" t="e">
        <f>VLOOKUP(A30,Castellotti!A:Q,17,0)</f>
        <v>#N/A</v>
      </c>
    </row>
    <row r="31" spans="1:10" x14ac:dyDescent="0.25">
      <c r="A31" s="8" t="s">
        <v>212</v>
      </c>
      <c r="B31" s="8" t="s">
        <v>68</v>
      </c>
      <c r="C31" s="65" t="s">
        <v>34</v>
      </c>
      <c r="E31" s="65" t="s">
        <v>71</v>
      </c>
      <c r="I31" s="104" t="e">
        <f>VLOOKUP(A31,'Nora Sciplino'!A$12:Q$58,17,0)</f>
        <v>#N/A</v>
      </c>
      <c r="J31" s="4">
        <f>VLOOKUP(A31,Castellotti!A:Q,17,0)</f>
        <v>13.876923076923077</v>
      </c>
    </row>
    <row r="32" spans="1:10" x14ac:dyDescent="0.25">
      <c r="A32" s="8" t="s">
        <v>300</v>
      </c>
      <c r="B32" s="8" t="s">
        <v>173</v>
      </c>
      <c r="C32" s="65" t="s">
        <v>120</v>
      </c>
      <c r="I32" s="104">
        <f>VLOOKUP(A32,'Nora Sciplino'!A$12:Q$58,17,0)</f>
        <v>41.307692307692307</v>
      </c>
      <c r="J32" s="4" t="e">
        <f>VLOOKUP(A32,Castellotti!A:Q,17,0)</f>
        <v>#N/A</v>
      </c>
    </row>
    <row r="33" spans="1:10" x14ac:dyDescent="0.25">
      <c r="A33" s="8" t="s">
        <v>189</v>
      </c>
      <c r="B33" s="8" t="s">
        <v>100</v>
      </c>
      <c r="C33" s="65" t="s">
        <v>120</v>
      </c>
      <c r="I33" s="104" t="e">
        <f>VLOOKUP(A33,'Nora Sciplino'!A$12:Q$58,17,0)</f>
        <v>#N/A</v>
      </c>
      <c r="J33" s="4">
        <f>VLOOKUP(A33,Castellotti!A:Q,17,0)</f>
        <v>63.061538461538461</v>
      </c>
    </row>
    <row r="34" spans="1:10" x14ac:dyDescent="0.25">
      <c r="A34" s="8" t="s">
        <v>81</v>
      </c>
      <c r="B34" s="8" t="s">
        <v>101</v>
      </c>
      <c r="C34" s="65" t="s">
        <v>34</v>
      </c>
      <c r="I34" s="104">
        <f>VLOOKUP(A34,'Nora Sciplino'!A$12:Q$58,17,0)</f>
        <v>13.123076923076923</v>
      </c>
      <c r="J34" s="4" t="e">
        <f>VLOOKUP(A34,Castellotti!A:Q,17,0)</f>
        <v>#N/A</v>
      </c>
    </row>
    <row r="35" spans="1:10" x14ac:dyDescent="0.25">
      <c r="A35" s="8" t="s">
        <v>215</v>
      </c>
      <c r="B35" t="s">
        <v>172</v>
      </c>
      <c r="C35" s="65" t="s">
        <v>34</v>
      </c>
      <c r="I35" s="104" t="e">
        <f>VLOOKUP(A35,'Nora Sciplino'!A$12:Q$58,17,0)</f>
        <v>#N/A</v>
      </c>
      <c r="J35" s="4">
        <f>VLOOKUP(A35,Castellotti!A:Q,17,0)</f>
        <v>11.338461538461539</v>
      </c>
    </row>
    <row r="36" spans="1:10" x14ac:dyDescent="0.25">
      <c r="A36" s="8" t="s">
        <v>203</v>
      </c>
      <c r="B36" s="8" t="s">
        <v>100</v>
      </c>
      <c r="C36" s="65" t="s">
        <v>120</v>
      </c>
      <c r="I36" s="104" t="e">
        <f>VLOOKUP(A36,'Nora Sciplino'!A$12:Q$58,17,0)</f>
        <v>#N/A</v>
      </c>
      <c r="J36" s="4">
        <f>VLOOKUP(A36,Castellotti!A:Q,17,0)</f>
        <v>41.8</v>
      </c>
    </row>
    <row r="37" spans="1:10" x14ac:dyDescent="0.25">
      <c r="A37" s="8" t="s">
        <v>209</v>
      </c>
      <c r="B37" s="8" t="s">
        <v>171</v>
      </c>
      <c r="C37" s="65" t="s">
        <v>33</v>
      </c>
      <c r="I37" s="104" t="e">
        <f>VLOOKUP(A37,'Nora Sciplino'!A$12:Q$58,17,0)</f>
        <v>#N/A</v>
      </c>
      <c r="J37" s="4">
        <f>VLOOKUP(A37,Castellotti!A:Q,17,0)</f>
        <v>6.7384615384615385</v>
      </c>
    </row>
    <row r="38" spans="1:10" x14ac:dyDescent="0.25">
      <c r="A38" s="8" t="s">
        <v>17</v>
      </c>
      <c r="B38" s="8" t="s">
        <v>66</v>
      </c>
      <c r="C38" s="65" t="s">
        <v>33</v>
      </c>
      <c r="I38" s="104">
        <f>VLOOKUP(A38,'Nora Sciplino'!A$12:Q$58,17,0)</f>
        <v>6.384615384615385</v>
      </c>
      <c r="J38" s="4">
        <f>VLOOKUP(A38,Castellotti!A:Q,17,0)</f>
        <v>7.3384615384615381</v>
      </c>
    </row>
    <row r="39" spans="1:10" x14ac:dyDescent="0.25">
      <c r="A39" s="8" t="s">
        <v>206</v>
      </c>
      <c r="B39" s="8" t="s">
        <v>100</v>
      </c>
      <c r="C39" s="65" t="s">
        <v>120</v>
      </c>
      <c r="I39" s="104" t="e">
        <f>VLOOKUP(A39,'Nora Sciplino'!A$12:Q$58,17,0)</f>
        <v>#N/A</v>
      </c>
      <c r="J39" s="4">
        <f>VLOOKUP(A39,Castellotti!A:Q,17,0)</f>
        <v>227.73846153846154</v>
      </c>
    </row>
    <row r="40" spans="1:10" x14ac:dyDescent="0.25">
      <c r="A40" s="8" t="s">
        <v>213</v>
      </c>
      <c r="B40" s="8" t="s">
        <v>68</v>
      </c>
      <c r="C40" s="65" t="s">
        <v>120</v>
      </c>
      <c r="I40" s="104" t="e">
        <f>VLOOKUP(A40,'Nora Sciplino'!A$12:Q$58,17,0)</f>
        <v>#N/A</v>
      </c>
      <c r="J40" s="4">
        <f>VLOOKUP(A40,Castellotti!A:Q,17,0)</f>
        <v>183.50769230769231</v>
      </c>
    </row>
    <row r="41" spans="1:10" x14ac:dyDescent="0.25">
      <c r="A41" s="8" t="s">
        <v>220</v>
      </c>
      <c r="B41" s="8" t="s">
        <v>99</v>
      </c>
      <c r="C41" s="65" t="s">
        <v>120</v>
      </c>
      <c r="I41" s="104" t="e">
        <f>VLOOKUP(A41,'Nora Sciplino'!A$12:Q$58,17,0)</f>
        <v>#N/A</v>
      </c>
      <c r="J41" s="4">
        <f>VLOOKUP(A41,Castellotti!A:Q,17,0)</f>
        <v>32.200000000000003</v>
      </c>
    </row>
    <row r="42" spans="1:10" x14ac:dyDescent="0.25">
      <c r="A42" s="8" t="s">
        <v>217</v>
      </c>
      <c r="B42" t="s">
        <v>172</v>
      </c>
      <c r="C42" s="65" t="s">
        <v>120</v>
      </c>
      <c r="I42" s="104" t="e">
        <f>VLOOKUP(A42,'Nora Sciplino'!A$12:Q$58,17,0)</f>
        <v>#N/A</v>
      </c>
      <c r="J42" s="4">
        <f>VLOOKUP(A42,Castellotti!A:Q,17,0)</f>
        <v>258.86153846153849</v>
      </c>
    </row>
    <row r="43" spans="1:10" x14ac:dyDescent="0.25">
      <c r="A43" s="8" t="s">
        <v>23</v>
      </c>
      <c r="B43" s="8" t="s">
        <v>100</v>
      </c>
      <c r="C43" s="65" t="s">
        <v>33</v>
      </c>
      <c r="I43" s="104">
        <f>VLOOKUP(A43,'Nora Sciplino'!A$12:Q$58,17,0)</f>
        <v>5.4</v>
      </c>
      <c r="J43" s="4">
        <f>VLOOKUP(A43,Castellotti!A:Q,17,0)</f>
        <v>5.8153846153846152</v>
      </c>
    </row>
    <row r="44" spans="1:10" x14ac:dyDescent="0.25">
      <c r="A44" s="8" t="s">
        <v>87</v>
      </c>
      <c r="B44" s="8" t="s">
        <v>101</v>
      </c>
      <c r="C44" s="65" t="s">
        <v>120</v>
      </c>
      <c r="I44" s="104">
        <f>VLOOKUP(A44,'Nora Sciplino'!A$12:Q$58,17,0)</f>
        <v>53.892307692307689</v>
      </c>
      <c r="J44" s="4" t="e">
        <f>VLOOKUP(A44,Castellotti!A:Q,17,0)</f>
        <v>#N/A</v>
      </c>
    </row>
    <row r="45" spans="1:10" x14ac:dyDescent="0.25">
      <c r="A45" s="8" t="s">
        <v>25</v>
      </c>
      <c r="B45" s="8" t="s">
        <v>66</v>
      </c>
      <c r="C45" s="65" t="s">
        <v>34</v>
      </c>
      <c r="G45" s="65" t="s">
        <v>98</v>
      </c>
      <c r="I45" s="104">
        <f>VLOOKUP(A45,'Nora Sciplino'!A$12:Q$58,17,0)</f>
        <v>43.615384615384613</v>
      </c>
      <c r="J45" s="4" t="e">
        <f>VLOOKUP(A45,Castellotti!A:Q,17,0)</f>
        <v>#N/A</v>
      </c>
    </row>
    <row r="46" spans="1:10" x14ac:dyDescent="0.25">
      <c r="A46" s="8" t="s">
        <v>16</v>
      </c>
      <c r="B46" s="8" t="s">
        <v>99</v>
      </c>
      <c r="C46" s="65" t="s">
        <v>34</v>
      </c>
      <c r="D46" s="65" t="s">
        <v>71</v>
      </c>
      <c r="I46" s="104">
        <f>VLOOKUP(A46,'Nora Sciplino'!A$12:Q$58,17,0)</f>
        <v>9.0153846153846153</v>
      </c>
      <c r="J46" s="4" t="e">
        <f>VLOOKUP(A46,Castellotti!A:Q,17,0)</f>
        <v>#N/A</v>
      </c>
    </row>
    <row r="47" spans="1:10" x14ac:dyDescent="0.25">
      <c r="A47" s="8" t="s">
        <v>222</v>
      </c>
      <c r="B47" s="8" t="s">
        <v>66</v>
      </c>
      <c r="C47" s="65" t="s">
        <v>34</v>
      </c>
      <c r="I47" s="104" t="e">
        <f>VLOOKUP(A47,'Nora Sciplino'!A$12:Q$58,17,0)</f>
        <v>#N/A</v>
      </c>
      <c r="J47" s="4">
        <f>VLOOKUP(A47,Castellotti!A:Q,17,0)</f>
        <v>56.123076923076923</v>
      </c>
    </row>
    <row r="48" spans="1:10" x14ac:dyDescent="0.25">
      <c r="A48" s="8" t="s">
        <v>72</v>
      </c>
      <c r="B48" s="8" t="s">
        <v>66</v>
      </c>
      <c r="C48" s="65" t="s">
        <v>33</v>
      </c>
      <c r="E48" s="65" t="s">
        <v>71</v>
      </c>
      <c r="I48" s="104">
        <f>VLOOKUP(A48,'Nora Sciplino'!A$12:Q$58,17,0)</f>
        <v>7.8923076923076927</v>
      </c>
      <c r="J48" s="4" t="e">
        <f>VLOOKUP(A48,Castellotti!A:Q,17,0)</f>
        <v>#N/A</v>
      </c>
    </row>
    <row r="49" spans="1:10" x14ac:dyDescent="0.25">
      <c r="A49" s="8" t="s">
        <v>197</v>
      </c>
      <c r="B49" s="8" t="s">
        <v>100</v>
      </c>
      <c r="C49" s="65" t="s">
        <v>120</v>
      </c>
      <c r="I49" s="104" t="e">
        <f>VLOOKUP(A49,'Nora Sciplino'!A$12:Q$58,17,0)</f>
        <v>#N/A</v>
      </c>
      <c r="J49" s="4">
        <f>VLOOKUP(A49,Castellotti!A:Q,17,0)</f>
        <v>82.030769230769238</v>
      </c>
    </row>
    <row r="50" spans="1:10" x14ac:dyDescent="0.25">
      <c r="A50" s="8" t="s">
        <v>207</v>
      </c>
      <c r="B50" s="8" t="s">
        <v>100</v>
      </c>
      <c r="C50" s="65" t="s">
        <v>120</v>
      </c>
      <c r="I50" s="104" t="e">
        <f>VLOOKUP(A50,'Nora Sciplino'!A$12:Q$58,17,0)</f>
        <v>#N/A</v>
      </c>
      <c r="J50" s="4">
        <f>VLOOKUP(A50,Castellotti!A:Q,17,0)</f>
        <v>139.12307692307692</v>
      </c>
    </row>
    <row r="51" spans="1:10" x14ac:dyDescent="0.25">
      <c r="A51" s="8" t="s">
        <v>12</v>
      </c>
      <c r="B51" s="8" t="s">
        <v>66</v>
      </c>
      <c r="C51" s="65" t="s">
        <v>33</v>
      </c>
      <c r="I51" s="104">
        <f>VLOOKUP(A51,'Nora Sciplino'!A$12:Q$58,17,0)</f>
        <v>5.6461538461538465</v>
      </c>
      <c r="J51" s="4">
        <f>VLOOKUP(A51,Castellotti!A:Q,17,0)</f>
        <v>5.1076923076923073</v>
      </c>
    </row>
    <row r="52" spans="1:10" x14ac:dyDescent="0.25">
      <c r="A52" s="8" t="s">
        <v>75</v>
      </c>
      <c r="B52" s="8" t="s">
        <v>66</v>
      </c>
      <c r="C52" s="65" t="s">
        <v>34</v>
      </c>
      <c r="I52" s="104">
        <f>VLOOKUP(A52,'Nora Sciplino'!A$12:Q$58,17,0)</f>
        <v>8.5846153846153843</v>
      </c>
      <c r="J52" s="4">
        <f>VLOOKUP(A52,Castellotti!A:Q,17,0)</f>
        <v>14.415384615384616</v>
      </c>
    </row>
    <row r="53" spans="1:10" x14ac:dyDescent="0.25">
      <c r="A53" s="8" t="s">
        <v>224</v>
      </c>
      <c r="B53" s="8" t="s">
        <v>176</v>
      </c>
      <c r="C53" s="65" t="s">
        <v>34</v>
      </c>
      <c r="I53" s="104" t="e">
        <f>VLOOKUP(A53,'Nora Sciplino'!A$12:Q$58,17,0)</f>
        <v>#N/A</v>
      </c>
      <c r="J53" s="4">
        <f>VLOOKUP(A53,Castellotti!A:Q,17,0)</f>
        <v>10.492307692307692</v>
      </c>
    </row>
    <row r="54" spans="1:10" x14ac:dyDescent="0.25">
      <c r="A54" s="8" t="s">
        <v>14</v>
      </c>
      <c r="B54" s="8" t="s">
        <v>66</v>
      </c>
      <c r="C54" s="65" t="s">
        <v>33</v>
      </c>
      <c r="I54" s="104">
        <f>VLOOKUP(A54,'Nora Sciplino'!A$12:Q$58,17,0)</f>
        <v>5.046153846153846</v>
      </c>
      <c r="J54" s="4" t="e">
        <f>VLOOKUP(A54,Castellotti!A:Q,17,0)</f>
        <v>#N/A</v>
      </c>
    </row>
    <row r="55" spans="1:10" x14ac:dyDescent="0.25">
      <c r="A55" s="8" t="s">
        <v>80</v>
      </c>
      <c r="B55" s="8" t="s">
        <v>66</v>
      </c>
      <c r="C55" s="65" t="s">
        <v>34</v>
      </c>
      <c r="I55" s="104">
        <f>VLOOKUP(A55,'Nora Sciplino'!A$12:Q$58,17,0)</f>
        <v>12.584615384615384</v>
      </c>
      <c r="J55" s="4" t="e">
        <f>VLOOKUP(A55,Castellotti!A:Q,17,0)</f>
        <v>#N/A</v>
      </c>
    </row>
    <row r="56" spans="1:10" x14ac:dyDescent="0.25">
      <c r="A56" s="9" t="s">
        <v>15</v>
      </c>
      <c r="B56" s="9" t="s">
        <v>99</v>
      </c>
      <c r="C56" s="65" t="s">
        <v>33</v>
      </c>
      <c r="I56" s="104">
        <f>VLOOKUP(A56,'Nora Sciplino'!A$12:Q$58,17,0)</f>
        <v>4.5999999999999996</v>
      </c>
      <c r="J56" s="4" t="e">
        <f>VLOOKUP(A56,Castellotti!A:Q,17,0)</f>
        <v>#N/A</v>
      </c>
    </row>
    <row r="57" spans="1:10" x14ac:dyDescent="0.25">
      <c r="A57" s="8" t="s">
        <v>40</v>
      </c>
      <c r="B57" s="8" t="s">
        <v>66</v>
      </c>
      <c r="C57" s="65" t="s">
        <v>120</v>
      </c>
      <c r="I57" s="104">
        <f>VLOOKUP(A57,'Nora Sciplino'!A$12:Q$58,17,0)</f>
        <v>21.753846153846155</v>
      </c>
      <c r="J57" s="4" t="e">
        <f>VLOOKUP(A57,Castellotti!A:Q,17,0)</f>
        <v>#N/A</v>
      </c>
    </row>
    <row r="58" spans="1:10" x14ac:dyDescent="0.25">
      <c r="A58" s="8" t="s">
        <v>214</v>
      </c>
      <c r="B58" s="8" t="s">
        <v>68</v>
      </c>
      <c r="C58" s="65" t="s">
        <v>120</v>
      </c>
      <c r="I58" s="104" t="e">
        <f>VLOOKUP(A58,'Nora Sciplino'!A$12:Q$58,17,0)</f>
        <v>#N/A</v>
      </c>
      <c r="J58" s="4">
        <f>VLOOKUP(A58,Castellotti!A:Q,17,0)</f>
        <v>162.78461538461539</v>
      </c>
    </row>
    <row r="59" spans="1:10" x14ac:dyDescent="0.25">
      <c r="A59" s="8" t="s">
        <v>205</v>
      </c>
      <c r="B59" s="8" t="s">
        <v>100</v>
      </c>
      <c r="C59" s="65" t="s">
        <v>120</v>
      </c>
      <c r="I59" s="104" t="e">
        <f>VLOOKUP(A59,'Nora Sciplino'!A$12:Q$58,17,0)</f>
        <v>#N/A</v>
      </c>
      <c r="J59" s="4">
        <f>VLOOKUP(A59,Castellotti!A:Q,17,0)</f>
        <v>35.200000000000003</v>
      </c>
    </row>
    <row r="60" spans="1:10" x14ac:dyDescent="0.25">
      <c r="A60" s="8" t="s">
        <v>229</v>
      </c>
      <c r="B60" s="8" t="s">
        <v>101</v>
      </c>
      <c r="C60" s="65" t="s">
        <v>120</v>
      </c>
      <c r="I60" s="104" t="e">
        <f>VLOOKUP(A60,'Nora Sciplino'!A$12:Q$58,17,0)</f>
        <v>#N/A</v>
      </c>
      <c r="J60" s="4">
        <f>VLOOKUP(A60,Castellotti!A:Q,17,0)</f>
        <v>41.661538461538463</v>
      </c>
    </row>
    <row r="61" spans="1:10" x14ac:dyDescent="0.25">
      <c r="A61" s="8" t="s">
        <v>85</v>
      </c>
      <c r="B61" s="8" t="s">
        <v>101</v>
      </c>
      <c r="C61" s="65" t="s">
        <v>120</v>
      </c>
      <c r="D61" s="65" t="s">
        <v>71</v>
      </c>
      <c r="I61" s="104">
        <f>VLOOKUP(A61,'Nora Sciplino'!A$12:Q$58,17,0)</f>
        <v>36.446153846153848</v>
      </c>
      <c r="J61" s="4">
        <f>VLOOKUP(A61,Castellotti!A:Q,17,0)</f>
        <v>16.138461538461538</v>
      </c>
    </row>
    <row r="62" spans="1:10" x14ac:dyDescent="0.25">
      <c r="A62" s="8" t="s">
        <v>202</v>
      </c>
      <c r="B62" s="8" t="s">
        <v>100</v>
      </c>
      <c r="C62" s="65" t="s">
        <v>120</v>
      </c>
      <c r="I62" s="104" t="e">
        <f>VLOOKUP(A62,'Nora Sciplino'!A$12:Q$58,17,0)</f>
        <v>#N/A</v>
      </c>
      <c r="J62" s="4">
        <f>VLOOKUP(A62,Castellotti!A:Q,17,0)</f>
        <v>47.584615384615383</v>
      </c>
    </row>
    <row r="63" spans="1:10" x14ac:dyDescent="0.25">
      <c r="A63" s="8" t="s">
        <v>192</v>
      </c>
      <c r="B63" s="8" t="s">
        <v>100</v>
      </c>
      <c r="C63" s="65" t="s">
        <v>120</v>
      </c>
      <c r="I63" s="104" t="e">
        <f>VLOOKUP(A63,'Nora Sciplino'!A$12:Q$58,17,0)</f>
        <v>#N/A</v>
      </c>
      <c r="J63" s="4">
        <f>VLOOKUP(A63,Castellotti!A:Q,17,0)</f>
        <v>36.4</v>
      </c>
    </row>
    <row r="64" spans="1:10" x14ac:dyDescent="0.25">
      <c r="A64" s="8" t="s">
        <v>28</v>
      </c>
      <c r="B64" s="8" t="s">
        <v>66</v>
      </c>
      <c r="C64" s="65" t="s">
        <v>34</v>
      </c>
      <c r="I64" s="104">
        <f>VLOOKUP(A64,'Nora Sciplino'!A$12:Q$58,17,0)</f>
        <v>9.2307692307692299</v>
      </c>
      <c r="J64" s="4" t="e">
        <f>VLOOKUP(A64,Castellotti!A:Q,17,0)</f>
        <v>#N/A</v>
      </c>
    </row>
    <row r="65" spans="1:10" x14ac:dyDescent="0.25">
      <c r="A65" s="8" t="s">
        <v>69</v>
      </c>
      <c r="B65" s="8" t="s">
        <v>100</v>
      </c>
      <c r="C65" s="65" t="s">
        <v>33</v>
      </c>
      <c r="I65" s="104">
        <f>VLOOKUP(A65,'Nora Sciplino'!A$12:Q$58,17,0)</f>
        <v>4.9384615384615387</v>
      </c>
      <c r="J65" s="4">
        <f>VLOOKUP(A65,Castellotti!A:Q,17,0)</f>
        <v>5.7538461538461538</v>
      </c>
    </row>
    <row r="66" spans="1:10" x14ac:dyDescent="0.25">
      <c r="A66" s="8" t="s">
        <v>191</v>
      </c>
      <c r="B66" s="8" t="s">
        <v>100</v>
      </c>
      <c r="C66" s="65" t="s">
        <v>33</v>
      </c>
      <c r="E66" s="65" t="s">
        <v>71</v>
      </c>
      <c r="I66" s="104" t="e">
        <f>VLOOKUP(A66,'Nora Sciplino'!A$12:Q$58,17,0)</f>
        <v>#N/A</v>
      </c>
      <c r="J66" s="4">
        <f>VLOOKUP(A66,Castellotti!A:Q,17,0)</f>
        <v>3.8923076923076922</v>
      </c>
    </row>
    <row r="67" spans="1:10" x14ac:dyDescent="0.25">
      <c r="A67" s="8" t="s">
        <v>86</v>
      </c>
      <c r="B67" s="8" t="s">
        <v>66</v>
      </c>
      <c r="C67" s="65" t="s">
        <v>120</v>
      </c>
      <c r="D67" s="65" t="s">
        <v>71</v>
      </c>
      <c r="G67" s="65" t="s">
        <v>98</v>
      </c>
      <c r="I67" s="104">
        <f>VLOOKUP(A67,'Nora Sciplino'!A$12:Q$58,17,0)</f>
        <v>47.446153846153848</v>
      </c>
      <c r="J67" s="4" t="e">
        <f>VLOOKUP(A67,Castellotti!A:Q,17,0)</f>
        <v>#N/A</v>
      </c>
    </row>
    <row r="68" spans="1:10" x14ac:dyDescent="0.25">
      <c r="A68" s="8" t="s">
        <v>88</v>
      </c>
      <c r="B68" s="8" t="s">
        <v>100</v>
      </c>
      <c r="C68" s="65" t="s">
        <v>120</v>
      </c>
      <c r="I68" s="104">
        <f>VLOOKUP(A68,'Nora Sciplino'!A$12:Q$58,17,0)</f>
        <v>86</v>
      </c>
      <c r="J68" s="4">
        <f>VLOOKUP(A68,Castellotti!A:Q,17,0)</f>
        <v>24.46153846153846</v>
      </c>
    </row>
    <row r="69" spans="1:10" x14ac:dyDescent="0.25">
      <c r="A69" s="8" t="s">
        <v>77</v>
      </c>
      <c r="B69" s="8" t="s">
        <v>66</v>
      </c>
      <c r="C69" s="65" t="s">
        <v>34</v>
      </c>
      <c r="I69" s="104">
        <f>VLOOKUP(A69,'Nora Sciplino'!A$12:Q$58,17,0)</f>
        <v>8.9692307692307693</v>
      </c>
      <c r="J69" s="4" t="e">
        <f>VLOOKUP(A69,Castellotti!A:Q,17,0)</f>
        <v>#N/A</v>
      </c>
    </row>
    <row r="70" spans="1:10" x14ac:dyDescent="0.25">
      <c r="A70" s="8" t="s">
        <v>226</v>
      </c>
      <c r="B70" s="8" t="s">
        <v>176</v>
      </c>
      <c r="C70" s="65" t="s">
        <v>34</v>
      </c>
      <c r="I70" s="104" t="e">
        <f>VLOOKUP(A70,'Nora Sciplino'!A$12:Q$58,17,0)</f>
        <v>#N/A</v>
      </c>
      <c r="J70" s="4">
        <f>VLOOKUP(A70,Castellotti!A:Q,17,0)</f>
        <v>9.138461538461538</v>
      </c>
    </row>
    <row r="71" spans="1:10" x14ac:dyDescent="0.25">
      <c r="A71" s="8" t="s">
        <v>221</v>
      </c>
      <c r="B71" s="8" t="s">
        <v>173</v>
      </c>
      <c r="C71" s="65" t="s">
        <v>34</v>
      </c>
      <c r="I71" s="104" t="e">
        <f>VLOOKUP(A71,'Nora Sciplino'!A$12:Q$58,17,0)</f>
        <v>#N/A</v>
      </c>
      <c r="J71" s="4">
        <f>VLOOKUP(A71,Castellotti!A:Q,17,0)</f>
        <v>18.676923076923078</v>
      </c>
    </row>
    <row r="72" spans="1:10" x14ac:dyDescent="0.25">
      <c r="A72" s="8" t="s">
        <v>227</v>
      </c>
      <c r="B72" s="8" t="s">
        <v>176</v>
      </c>
      <c r="C72" s="65" t="s">
        <v>34</v>
      </c>
      <c r="E72" s="65" t="s">
        <v>71</v>
      </c>
      <c r="I72" s="104" t="e">
        <f>VLOOKUP(A72,'Nora Sciplino'!A$12:Q$58,17,0)</f>
        <v>#N/A</v>
      </c>
      <c r="J72" s="4">
        <f>VLOOKUP(A72,Castellotti!A:Q,17,0)</f>
        <v>53.353846153846156</v>
      </c>
    </row>
    <row r="73" spans="1:10" x14ac:dyDescent="0.25">
      <c r="A73" s="8" t="s">
        <v>83</v>
      </c>
      <c r="B73" s="8" t="s">
        <v>66</v>
      </c>
      <c r="C73" s="65" t="s">
        <v>120</v>
      </c>
      <c r="G73" s="65" t="s">
        <v>98</v>
      </c>
      <c r="I73" s="104">
        <f>VLOOKUP(A73,'Nora Sciplino'!A$12:Q$58,17,0)</f>
        <v>31.46153846153846</v>
      </c>
      <c r="J73" s="4" t="e">
        <f>VLOOKUP(A73,Castellotti!A:Q,17,0)</f>
        <v>#N/A</v>
      </c>
    </row>
    <row r="74" spans="1:10" x14ac:dyDescent="0.25">
      <c r="A74" s="8" t="s">
        <v>21</v>
      </c>
      <c r="B74" s="8" t="s">
        <v>68</v>
      </c>
      <c r="C74" s="65" t="s">
        <v>33</v>
      </c>
      <c r="I74" s="104">
        <f>VLOOKUP(A74,'Nora Sciplino'!A$12:Q$58,17,0)</f>
        <v>3.6307692307692307</v>
      </c>
      <c r="J74" s="4">
        <f>VLOOKUP(A74,Castellotti!A:Q,17,0)</f>
        <v>4.5076923076923077</v>
      </c>
    </row>
    <row r="75" spans="1:10" x14ac:dyDescent="0.25">
      <c r="A75" s="8" t="s">
        <v>26</v>
      </c>
      <c r="B75" s="8" t="s">
        <v>66</v>
      </c>
      <c r="C75" s="65" t="s">
        <v>120</v>
      </c>
      <c r="I75" s="104">
        <f>VLOOKUP(A75,'Nora Sciplino'!A$12:Q$58,17,0)</f>
        <v>39.507692307692309</v>
      </c>
      <c r="J75" s="4" t="e">
        <f>VLOOKUP(A75,Castellotti!A:Q,17,0)</f>
        <v>#N/A</v>
      </c>
    </row>
    <row r="76" spans="1:10" x14ac:dyDescent="0.25">
      <c r="A76" s="8" t="s">
        <v>204</v>
      </c>
      <c r="B76" s="8" t="s">
        <v>100</v>
      </c>
      <c r="C76" s="65" t="s">
        <v>120</v>
      </c>
      <c r="I76" s="104" t="e">
        <f>VLOOKUP(A76,'Nora Sciplino'!A$12:Q$58,17,0)</f>
        <v>#N/A</v>
      </c>
      <c r="J76" s="4">
        <f>VLOOKUP(A76,Castellotti!A:Q,17,0)</f>
        <v>247.38461538461539</v>
      </c>
    </row>
    <row r="77" spans="1:10" x14ac:dyDescent="0.25">
      <c r="A77" s="8" t="s">
        <v>219</v>
      </c>
      <c r="B77" s="8" t="s">
        <v>99</v>
      </c>
      <c r="C77" s="65" t="s">
        <v>33</v>
      </c>
      <c r="I77" s="104" t="e">
        <f>VLOOKUP(A77,'Nora Sciplino'!A$12:Q$58,17,0)</f>
        <v>#N/A</v>
      </c>
      <c r="J77" s="4">
        <f>VLOOKUP(A77,Castellotti!A:Q,17,0)</f>
        <v>14.276923076923078</v>
      </c>
    </row>
    <row r="78" spans="1:10" x14ac:dyDescent="0.25">
      <c r="A78" s="8" t="s">
        <v>82</v>
      </c>
      <c r="B78" s="8" t="s">
        <v>100</v>
      </c>
      <c r="C78" s="65" t="s">
        <v>120</v>
      </c>
      <c r="I78" s="104">
        <f>VLOOKUP(A78,'Nora Sciplino'!A$12:Q$58,17,0)</f>
        <v>15.876923076923077</v>
      </c>
      <c r="J78" s="4">
        <f>VLOOKUP(A78,Castellotti!A:Q,17,0)</f>
        <v>22.6</v>
      </c>
    </row>
    <row r="79" spans="1:10" x14ac:dyDescent="0.25">
      <c r="A79" s="8" t="s">
        <v>30</v>
      </c>
      <c r="B79" s="8" t="s">
        <v>66</v>
      </c>
      <c r="C79" s="65" t="s">
        <v>120</v>
      </c>
      <c r="I79" s="104">
        <f>VLOOKUP(A79,'Nora Sciplino'!A$12:Q$58,17,0)</f>
        <v>20.646153846153847</v>
      </c>
      <c r="J79" s="4" t="e">
        <f>VLOOKUP(A79,Castellotti!A:Q,17,0)</f>
        <v>#N/A</v>
      </c>
    </row>
    <row r="80" spans="1:10" x14ac:dyDescent="0.25">
      <c r="A80" s="8" t="s">
        <v>70</v>
      </c>
      <c r="B80" s="8" t="s">
        <v>68</v>
      </c>
      <c r="C80" s="65" t="s">
        <v>33</v>
      </c>
      <c r="D80" s="65" t="s">
        <v>71</v>
      </c>
      <c r="I80" s="104">
        <f>VLOOKUP(A80,'Nora Sciplino'!A$12:Q$58,17,0)</f>
        <v>6.0769230769230766</v>
      </c>
      <c r="J80" s="4">
        <f>VLOOKUP(A80,Castellotti!A:Q,17,0)</f>
        <v>4.8769230769230774</v>
      </c>
    </row>
    <row r="81" spans="1:10" x14ac:dyDescent="0.25">
      <c r="A81" s="8" t="s">
        <v>74</v>
      </c>
      <c r="B81" s="8" t="s">
        <v>100</v>
      </c>
      <c r="C81" s="65" t="s">
        <v>33</v>
      </c>
      <c r="I81" s="104">
        <f>VLOOKUP(A81,'Nora Sciplino'!A$12:Q$58,17,0)</f>
        <v>8.0307692307692307</v>
      </c>
      <c r="J81" s="4">
        <f>VLOOKUP(A81,Castellotti!A:Q,17,0)</f>
        <v>10</v>
      </c>
    </row>
    <row r="82" spans="1:10" x14ac:dyDescent="0.25">
      <c r="A82" s="8" t="s">
        <v>190</v>
      </c>
      <c r="B82" s="8" t="s">
        <v>100</v>
      </c>
      <c r="C82" s="65" t="s">
        <v>120</v>
      </c>
      <c r="I82" s="104" t="e">
        <f>VLOOKUP(A82,'Nora Sciplino'!A$12:Q$58,17,0)</f>
        <v>#N/A</v>
      </c>
      <c r="J82" s="4">
        <f>VLOOKUP(A82,Castellotti!A:Q,17,0)</f>
        <v>18.953846153846154</v>
      </c>
    </row>
    <row r="83" spans="1:10" x14ac:dyDescent="0.25">
      <c r="A83" s="8" t="s">
        <v>196</v>
      </c>
      <c r="B83" s="8" t="s">
        <v>100</v>
      </c>
      <c r="C83" s="65" t="s">
        <v>120</v>
      </c>
      <c r="I83" s="104" t="e">
        <f>VLOOKUP(A83,'Nora Sciplino'!A$12:Q$58,17,0)</f>
        <v>#N/A</v>
      </c>
      <c r="J83" s="4">
        <f>VLOOKUP(A83,Castellotti!A:Q,17,0)</f>
        <v>29.430769230769229</v>
      </c>
    </row>
    <row r="84" spans="1:10" x14ac:dyDescent="0.25">
      <c r="A84" s="8" t="s">
        <v>198</v>
      </c>
      <c r="B84" s="8" t="s">
        <v>100</v>
      </c>
      <c r="C84" s="65" t="s">
        <v>120</v>
      </c>
      <c r="I84" s="104" t="e">
        <f>VLOOKUP(A84,'Nora Sciplino'!A$12:Q$58,17,0)</f>
        <v>#N/A</v>
      </c>
      <c r="J84" s="4">
        <f>VLOOKUP(A84,Castellotti!A:Q,17,0)</f>
        <v>24.707692307692309</v>
      </c>
    </row>
    <row r="85" spans="1:10" x14ac:dyDescent="0.25">
      <c r="A85" s="8" t="s">
        <v>92</v>
      </c>
      <c r="B85" s="8" t="s">
        <v>101</v>
      </c>
      <c r="C85" s="65" t="s">
        <v>120</v>
      </c>
      <c r="G85" s="65" t="s">
        <v>98</v>
      </c>
      <c r="I85" s="104">
        <f>VLOOKUP(A85,'Nora Sciplino'!A$12:Q$58,17,0)</f>
        <v>124.07692307692308</v>
      </c>
      <c r="J85" s="4" t="e">
        <f>VLOOKUP(A85,Castellotti!A:Q,17,0)</f>
        <v>#N/A</v>
      </c>
    </row>
    <row r="86" spans="1:10" x14ac:dyDescent="0.25">
      <c r="A86" s="8" t="s">
        <v>210</v>
      </c>
      <c r="B86" s="8" t="s">
        <v>171</v>
      </c>
      <c r="C86" s="65" t="s">
        <v>33</v>
      </c>
      <c r="I86" s="104" t="e">
        <f>VLOOKUP(A86,'Nora Sciplino'!A$12:Q$58,17,0)</f>
        <v>#N/A</v>
      </c>
      <c r="J86" s="4">
        <f>VLOOKUP(A86,Castellotti!A:Q,17,0)</f>
        <v>5.8</v>
      </c>
    </row>
    <row r="87" spans="1:10" x14ac:dyDescent="0.25">
      <c r="A87" s="8" t="s">
        <v>31</v>
      </c>
      <c r="B87" s="8" t="s">
        <v>99</v>
      </c>
      <c r="C87" s="65" t="s">
        <v>34</v>
      </c>
      <c r="I87" s="104">
        <f>VLOOKUP(A87,'Nora Sciplino'!A$12:Q$58,17,0)</f>
        <v>13.569230769230769</v>
      </c>
      <c r="J87" s="4" t="e">
        <f>VLOOKUP(A87,Castellotti!A:Q,17,0)</f>
        <v>#N/A</v>
      </c>
    </row>
    <row r="88" spans="1:10" x14ac:dyDescent="0.25">
      <c r="A88" s="8" t="s">
        <v>228</v>
      </c>
      <c r="B88" s="8" t="s">
        <v>176</v>
      </c>
      <c r="C88" s="65" t="s">
        <v>120</v>
      </c>
      <c r="I88" s="104" t="e">
        <f>VLOOKUP(A88,'Nora Sciplino'!A$12:Q$58,17,0)</f>
        <v>#N/A</v>
      </c>
      <c r="J88" s="4">
        <f>VLOOKUP(A88,Castellotti!A:Q,17,0)</f>
        <v>35.692307692307693</v>
      </c>
    </row>
  </sheetData>
  <sortState xmlns:xlrd2="http://schemas.microsoft.com/office/spreadsheetml/2017/richdata2" ref="A2:H88">
    <sortCondition ref="A2:A88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3"/>
  <sheetViews>
    <sheetView workbookViewId="0">
      <selection activeCell="I17" sqref="I17"/>
    </sheetView>
  </sheetViews>
  <sheetFormatPr defaultRowHeight="14.3" x14ac:dyDescent="0.25"/>
  <cols>
    <col min="1" max="1" width="5.75" bestFit="1" customWidth="1"/>
    <col min="4" max="4" width="11.875" bestFit="1" customWidth="1"/>
    <col min="6" max="6" width="46" bestFit="1" customWidth="1"/>
    <col min="7" max="7" width="2" bestFit="1" customWidth="1"/>
    <col min="8" max="8" width="7.25" bestFit="1" customWidth="1"/>
    <col min="9" max="9" width="6" bestFit="1" customWidth="1"/>
    <col min="10" max="10" width="11" bestFit="1" customWidth="1"/>
  </cols>
  <sheetData>
    <row r="1" spans="1:9" x14ac:dyDescent="0.25">
      <c r="A1" s="2" t="s">
        <v>43</v>
      </c>
      <c r="B1" s="2"/>
      <c r="C1" s="2"/>
      <c r="D1" s="2"/>
      <c r="F1" t="s">
        <v>7</v>
      </c>
    </row>
    <row r="3" spans="1:9" s="2" customFormat="1" x14ac:dyDescent="0.25">
      <c r="B3" s="3" t="s">
        <v>0</v>
      </c>
      <c r="D3" s="2" t="s">
        <v>1</v>
      </c>
      <c r="F3" s="3" t="s">
        <v>4</v>
      </c>
      <c r="G3" s="102" t="s">
        <v>6</v>
      </c>
      <c r="H3" s="102"/>
      <c r="I3" s="102"/>
    </row>
    <row r="4" spans="1:9" x14ac:dyDescent="0.25">
      <c r="A4">
        <v>1</v>
      </c>
      <c r="B4">
        <v>50</v>
      </c>
      <c r="F4" s="3" t="s">
        <v>5</v>
      </c>
      <c r="I4" s="2" t="s">
        <v>7</v>
      </c>
    </row>
    <row r="5" spans="1:9" x14ac:dyDescent="0.25">
      <c r="A5">
        <v>2</v>
      </c>
      <c r="B5">
        <v>45</v>
      </c>
      <c r="F5" s="1"/>
    </row>
    <row r="6" spans="1:9" x14ac:dyDescent="0.25">
      <c r="A6">
        <v>3</v>
      </c>
      <c r="B6">
        <v>41</v>
      </c>
      <c r="D6" s="1" t="s">
        <v>2</v>
      </c>
      <c r="F6" s="1" t="s">
        <v>2</v>
      </c>
      <c r="G6">
        <v>1</v>
      </c>
      <c r="H6" t="s">
        <v>61</v>
      </c>
      <c r="I6" s="4">
        <v>1</v>
      </c>
    </row>
    <row r="7" spans="1:9" x14ac:dyDescent="0.25">
      <c r="A7">
        <v>4</v>
      </c>
      <c r="B7">
        <v>38</v>
      </c>
      <c r="G7">
        <v>2</v>
      </c>
      <c r="H7" t="s">
        <v>60</v>
      </c>
      <c r="I7" s="4">
        <v>1.05</v>
      </c>
    </row>
    <row r="8" spans="1:9" x14ac:dyDescent="0.25">
      <c r="A8">
        <v>5</v>
      </c>
      <c r="B8">
        <v>36</v>
      </c>
      <c r="D8" t="s">
        <v>3</v>
      </c>
      <c r="F8" t="s">
        <v>32</v>
      </c>
      <c r="G8">
        <v>3</v>
      </c>
      <c r="H8" t="s">
        <v>60</v>
      </c>
      <c r="I8" s="4">
        <v>1.1000000000000001</v>
      </c>
    </row>
    <row r="9" spans="1:9" x14ac:dyDescent="0.25">
      <c r="A9">
        <v>6</v>
      </c>
      <c r="B9">
        <v>35</v>
      </c>
      <c r="D9" t="s">
        <v>10</v>
      </c>
      <c r="G9">
        <v>4</v>
      </c>
      <c r="H9" t="s">
        <v>60</v>
      </c>
      <c r="I9" s="4">
        <v>1.1499999999999999</v>
      </c>
    </row>
    <row r="10" spans="1:9" x14ac:dyDescent="0.25">
      <c r="A10">
        <v>7</v>
      </c>
      <c r="B10">
        <v>34</v>
      </c>
      <c r="G10">
        <v>5</v>
      </c>
      <c r="H10" t="s">
        <v>60</v>
      </c>
      <c r="I10" s="4">
        <v>1.2</v>
      </c>
    </row>
    <row r="11" spans="1:9" x14ac:dyDescent="0.25">
      <c r="A11">
        <v>8</v>
      </c>
      <c r="B11">
        <v>33</v>
      </c>
      <c r="G11">
        <v>6</v>
      </c>
      <c r="H11" t="s">
        <v>60</v>
      </c>
      <c r="I11" s="4">
        <v>1.25</v>
      </c>
    </row>
    <row r="12" spans="1:9" x14ac:dyDescent="0.25">
      <c r="A12">
        <v>9</v>
      </c>
      <c r="B12">
        <v>32</v>
      </c>
      <c r="G12">
        <v>7</v>
      </c>
      <c r="H12" t="s">
        <v>60</v>
      </c>
      <c r="I12" s="4">
        <v>1.3</v>
      </c>
    </row>
    <row r="13" spans="1:9" x14ac:dyDescent="0.25">
      <c r="A13">
        <v>10</v>
      </c>
      <c r="B13">
        <v>31</v>
      </c>
      <c r="G13">
        <v>8</v>
      </c>
      <c r="H13" t="s">
        <v>60</v>
      </c>
      <c r="I13" s="4">
        <v>1.35</v>
      </c>
    </row>
    <row r="14" spans="1:9" x14ac:dyDescent="0.25">
      <c r="A14">
        <v>11</v>
      </c>
      <c r="B14">
        <v>30</v>
      </c>
      <c r="G14">
        <v>9</v>
      </c>
      <c r="H14" t="s">
        <v>60</v>
      </c>
      <c r="I14" s="4">
        <v>1.4</v>
      </c>
    </row>
    <row r="15" spans="1:9" x14ac:dyDescent="0.25">
      <c r="A15">
        <v>12</v>
      </c>
      <c r="B15">
        <v>29</v>
      </c>
      <c r="I15" s="4"/>
    </row>
    <row r="16" spans="1:9" x14ac:dyDescent="0.25">
      <c r="A16">
        <v>13</v>
      </c>
      <c r="B16">
        <v>28</v>
      </c>
      <c r="I16" s="4"/>
    </row>
    <row r="17" spans="1:9" x14ac:dyDescent="0.25">
      <c r="A17">
        <v>14</v>
      </c>
      <c r="B17">
        <v>27</v>
      </c>
      <c r="I17" s="4"/>
    </row>
    <row r="18" spans="1:9" x14ac:dyDescent="0.25">
      <c r="A18">
        <v>15</v>
      </c>
      <c r="B18">
        <v>26</v>
      </c>
      <c r="I18" s="4"/>
    </row>
    <row r="19" spans="1:9" x14ac:dyDescent="0.25">
      <c r="A19">
        <v>16</v>
      </c>
      <c r="B19">
        <v>25</v>
      </c>
      <c r="I19" s="4"/>
    </row>
    <row r="20" spans="1:9" x14ac:dyDescent="0.25">
      <c r="A20">
        <v>17</v>
      </c>
      <c r="B20">
        <v>24</v>
      </c>
      <c r="I20" s="4"/>
    </row>
    <row r="21" spans="1:9" x14ac:dyDescent="0.25">
      <c r="A21">
        <v>18</v>
      </c>
      <c r="B21">
        <v>23</v>
      </c>
      <c r="I21" s="4"/>
    </row>
    <row r="22" spans="1:9" x14ac:dyDescent="0.25">
      <c r="A22">
        <v>19</v>
      </c>
      <c r="B22">
        <v>22</v>
      </c>
      <c r="I22" s="4"/>
    </row>
    <row r="23" spans="1:9" x14ac:dyDescent="0.25">
      <c r="A23">
        <v>20</v>
      </c>
      <c r="B23">
        <v>21</v>
      </c>
      <c r="I23" s="4"/>
    </row>
    <row r="24" spans="1:9" x14ac:dyDescent="0.25">
      <c r="A24">
        <v>21</v>
      </c>
      <c r="B24">
        <v>20</v>
      </c>
      <c r="I24" s="4"/>
    </row>
    <row r="25" spans="1:9" x14ac:dyDescent="0.25">
      <c r="A25">
        <v>22</v>
      </c>
      <c r="B25">
        <v>19</v>
      </c>
      <c r="I25" s="4"/>
    </row>
    <row r="26" spans="1:9" x14ac:dyDescent="0.25">
      <c r="A26">
        <v>23</v>
      </c>
      <c r="B26">
        <v>18</v>
      </c>
      <c r="I26" s="4"/>
    </row>
    <row r="27" spans="1:9" x14ac:dyDescent="0.25">
      <c r="A27">
        <v>24</v>
      </c>
      <c r="B27">
        <v>17</v>
      </c>
    </row>
    <row r="28" spans="1:9" x14ac:dyDescent="0.25">
      <c r="A28">
        <v>25</v>
      </c>
      <c r="B28">
        <v>16</v>
      </c>
    </row>
    <row r="29" spans="1:9" x14ac:dyDescent="0.25">
      <c r="A29">
        <v>26</v>
      </c>
      <c r="B29">
        <v>15</v>
      </c>
    </row>
    <row r="30" spans="1:9" x14ac:dyDescent="0.25">
      <c r="A30">
        <v>27</v>
      </c>
      <c r="B30">
        <v>14</v>
      </c>
    </row>
    <row r="31" spans="1:9" x14ac:dyDescent="0.25">
      <c r="A31">
        <v>28</v>
      </c>
      <c r="B31">
        <v>13</v>
      </c>
    </row>
    <row r="32" spans="1:9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G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61"/>
  <sheetViews>
    <sheetView topLeftCell="A12" workbookViewId="0">
      <selection activeCell="O46" sqref="O46"/>
    </sheetView>
  </sheetViews>
  <sheetFormatPr defaultRowHeight="14.3" x14ac:dyDescent="0.25"/>
  <cols>
    <col min="1" max="1" width="25" bestFit="1" customWidth="1"/>
    <col min="2" max="2" width="9.125" style="12" bestFit="1" customWidth="1"/>
    <col min="3" max="3" width="13.625" bestFit="1" customWidth="1"/>
    <col min="4" max="4" width="16.75" bestFit="1" customWidth="1"/>
    <col min="5" max="5" width="5.75" bestFit="1" customWidth="1"/>
    <col min="6" max="6" width="3.125" customWidth="1"/>
    <col min="7" max="7" width="8.25" bestFit="1" customWidth="1"/>
    <col min="8" max="8" width="6" bestFit="1" customWidth="1"/>
    <col min="9" max="9" width="10.625" bestFit="1" customWidth="1"/>
    <col min="10" max="10" width="2.25" customWidth="1"/>
    <col min="11" max="12" width="5.75" bestFit="1" customWidth="1"/>
    <col min="15" max="15" width="9.625" style="6" bestFit="1" customWidth="1"/>
    <col min="16" max="16" width="7" customWidth="1"/>
    <col min="17" max="17" width="7.625" bestFit="1" customWidth="1"/>
    <col min="18" max="18" width="25" bestFit="1" customWidth="1"/>
    <col min="19" max="19" width="11.625" style="4" bestFit="1" customWidth="1"/>
  </cols>
  <sheetData>
    <row r="1" spans="1:19" x14ac:dyDescent="0.25">
      <c r="A1" t="s">
        <v>47</v>
      </c>
      <c r="G1" s="98" t="s">
        <v>64</v>
      </c>
      <c r="H1" s="98"/>
      <c r="I1" s="98"/>
      <c r="J1" s="98"/>
      <c r="K1" s="98"/>
      <c r="L1" s="98"/>
      <c r="M1" s="98"/>
      <c r="N1" s="98"/>
      <c r="O1" s="98"/>
    </row>
    <row r="2" spans="1:19" x14ac:dyDescent="0.25">
      <c r="A2" t="s">
        <v>48</v>
      </c>
      <c r="D2" s="35">
        <v>44997</v>
      </c>
      <c r="J2" s="11"/>
    </row>
    <row r="3" spans="1:19" x14ac:dyDescent="0.25">
      <c r="A3" t="s">
        <v>65</v>
      </c>
      <c r="D3" s="35" t="s">
        <v>66</v>
      </c>
      <c r="J3" s="11"/>
    </row>
    <row r="4" spans="1:19" x14ac:dyDescent="0.25">
      <c r="A4" t="s">
        <v>52</v>
      </c>
      <c r="D4" s="1" t="s">
        <v>49</v>
      </c>
      <c r="J4" s="11"/>
    </row>
    <row r="5" spans="1:19" x14ac:dyDescent="0.25">
      <c r="A5" t="s">
        <v>50</v>
      </c>
      <c r="D5" s="1">
        <v>65</v>
      </c>
      <c r="J5" s="11"/>
    </row>
    <row r="6" spans="1:19" x14ac:dyDescent="0.25">
      <c r="A6" t="s">
        <v>51</v>
      </c>
      <c r="D6" s="1">
        <v>67</v>
      </c>
      <c r="J6" s="11"/>
    </row>
    <row r="7" spans="1:19" x14ac:dyDescent="0.25">
      <c r="I7" s="11"/>
      <c r="J7" s="11"/>
    </row>
    <row r="8" spans="1:19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9" s="2" customFormat="1" x14ac:dyDescent="0.25">
      <c r="B9" s="7"/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  <c r="S9" s="6"/>
    </row>
    <row r="10" spans="1:19" s="2" customFormat="1" x14ac:dyDescent="0.25">
      <c r="B10" s="7"/>
      <c r="F10" s="3"/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  <c r="S10" s="6"/>
    </row>
    <row r="11" spans="1:19" s="2" customFormat="1" x14ac:dyDescent="0.25">
      <c r="B11" s="7"/>
      <c r="G11" s="3"/>
      <c r="H11" s="26"/>
      <c r="I11" s="26"/>
      <c r="J11" s="6"/>
      <c r="O11" s="6"/>
      <c r="Q11" s="3" t="s">
        <v>170</v>
      </c>
      <c r="S11" s="6"/>
    </row>
    <row r="12" spans="1:19" x14ac:dyDescent="0.25">
      <c r="A12" s="8" t="s">
        <v>21</v>
      </c>
      <c r="B12" s="81">
        <f>VLOOKUP(A12,concorrenti!A:E,5,0)</f>
        <v>0</v>
      </c>
      <c r="C12" t="s">
        <v>122</v>
      </c>
      <c r="D12" t="s">
        <v>123</v>
      </c>
      <c r="E12">
        <v>1972</v>
      </c>
      <c r="F12" s="8"/>
      <c r="G12">
        <v>236</v>
      </c>
      <c r="H12" s="4">
        <f>IF(B12&lt;&gt;0,((1+RIGHT(E12,2)/100)-0.1),(1+RIGHT(E12,2)/100))</f>
        <v>1.72</v>
      </c>
      <c r="I12" s="4">
        <f>+G12*H12</f>
        <v>405.92</v>
      </c>
      <c r="J12" s="4"/>
      <c r="K12">
        <v>1</v>
      </c>
      <c r="L12">
        <f>VLOOKUP(K12,Regolamento!A:B,2,0)</f>
        <v>50</v>
      </c>
      <c r="M12" s="4">
        <f t="shared" ref="M12:M57" si="0">1+D$5/100</f>
        <v>1.65</v>
      </c>
      <c r="N12" s="4">
        <f t="shared" ref="N12:N57" si="1">1+D$6/100</f>
        <v>1.67</v>
      </c>
      <c r="O12" s="6">
        <f t="shared" ref="O12:O41" si="2">+L12*M12*N12</f>
        <v>137.77500000000001</v>
      </c>
      <c r="Q12" s="6">
        <f t="shared" ref="Q12:Q57" si="3">+G12/D$5</f>
        <v>3.6307692307692307</v>
      </c>
    </row>
    <row r="13" spans="1:19" x14ac:dyDescent="0.25">
      <c r="A13" s="8" t="s">
        <v>22</v>
      </c>
      <c r="B13" s="81">
        <f>VLOOKUP(A13,concorrenti!A:E,5,0)</f>
        <v>0</v>
      </c>
      <c r="C13" t="s">
        <v>122</v>
      </c>
      <c r="D13" t="s">
        <v>124</v>
      </c>
      <c r="E13">
        <v>1937</v>
      </c>
      <c r="G13">
        <v>320</v>
      </c>
      <c r="H13" s="4">
        <f>IF(B13&lt;&gt;0,((1+RIGHT(E13,2)/100)-0.1),(1+RIGHT(E13,2)/100))</f>
        <v>1.37</v>
      </c>
      <c r="I13" s="4">
        <f>+G13*H13</f>
        <v>438.40000000000003</v>
      </c>
      <c r="J13" s="4"/>
      <c r="K13">
        <v>2</v>
      </c>
      <c r="L13">
        <f>VLOOKUP(K13,Regolamento!A:B,2,0)</f>
        <v>45</v>
      </c>
      <c r="M13" s="4">
        <f t="shared" si="0"/>
        <v>1.65</v>
      </c>
      <c r="N13" s="4">
        <f t="shared" si="1"/>
        <v>1.67</v>
      </c>
      <c r="O13" s="6">
        <f t="shared" si="2"/>
        <v>123.99749999999999</v>
      </c>
      <c r="Q13" s="6">
        <f t="shared" si="3"/>
        <v>4.9230769230769234</v>
      </c>
    </row>
    <row r="14" spans="1:19" x14ac:dyDescent="0.25">
      <c r="A14" s="8" t="s">
        <v>27</v>
      </c>
      <c r="B14" s="81">
        <f>VLOOKUP(A14,concorrenti!A:E,5,0)</f>
        <v>0</v>
      </c>
      <c r="C14" t="s">
        <v>125</v>
      </c>
      <c r="D14" t="s">
        <v>126</v>
      </c>
      <c r="E14">
        <v>1980</v>
      </c>
      <c r="G14">
        <v>249</v>
      </c>
      <c r="H14" s="4">
        <f>IF(B14&lt;&gt;0,((1+RIGHT(E14,2)/100)-0.1),(1+RIGHT(E14,2)/100))</f>
        <v>1.8</v>
      </c>
      <c r="I14" s="4">
        <f>+G14*H14</f>
        <v>448.2</v>
      </c>
      <c r="J14" s="4"/>
      <c r="K14">
        <v>3</v>
      </c>
      <c r="L14">
        <f>VLOOKUP(K14,Regolamento!A:B,2,0)</f>
        <v>41</v>
      </c>
      <c r="M14" s="4">
        <f t="shared" si="0"/>
        <v>1.65</v>
      </c>
      <c r="N14" s="4">
        <f t="shared" si="1"/>
        <v>1.67</v>
      </c>
      <c r="O14" s="15">
        <f t="shared" si="2"/>
        <v>112.97549999999998</v>
      </c>
      <c r="P14" t="s">
        <v>7</v>
      </c>
      <c r="Q14" s="6">
        <f t="shared" si="3"/>
        <v>3.8307692307692309</v>
      </c>
    </row>
    <row r="15" spans="1:19" x14ac:dyDescent="0.25">
      <c r="A15" s="9" t="s">
        <v>15</v>
      </c>
      <c r="B15" s="81">
        <f>VLOOKUP(A15,concorrenti!A:E,5,0)</f>
        <v>0</v>
      </c>
      <c r="C15" t="s">
        <v>127</v>
      </c>
      <c r="D15" t="s">
        <v>128</v>
      </c>
      <c r="E15">
        <v>1963</v>
      </c>
      <c r="F15" s="8"/>
      <c r="G15">
        <v>299</v>
      </c>
      <c r="H15" s="4">
        <f>IF(B15&lt;&gt;0,((1+RIGHT(E15,2)/100)-0.1),(1+RIGHT(E15,2)/100))</f>
        <v>1.63</v>
      </c>
      <c r="I15" s="4">
        <f>+G15*H15</f>
        <v>487.36999999999995</v>
      </c>
      <c r="J15" s="4"/>
      <c r="K15">
        <v>4</v>
      </c>
      <c r="L15">
        <f>VLOOKUP(K15,Regolamento!A:B,2,0)</f>
        <v>38</v>
      </c>
      <c r="M15" s="4">
        <f t="shared" si="0"/>
        <v>1.65</v>
      </c>
      <c r="N15" s="4">
        <f t="shared" si="1"/>
        <v>1.67</v>
      </c>
      <c r="O15" s="15">
        <f t="shared" si="2"/>
        <v>104.70899999999999</v>
      </c>
      <c r="Q15" s="6">
        <f t="shared" si="3"/>
        <v>4.5999999999999996</v>
      </c>
    </row>
    <row r="16" spans="1:19" x14ac:dyDescent="0.25">
      <c r="A16" s="8" t="s">
        <v>69</v>
      </c>
      <c r="B16" s="81">
        <f>VLOOKUP(A16,concorrenti!A:E,5,0)</f>
        <v>0</v>
      </c>
      <c r="C16" t="s">
        <v>122</v>
      </c>
      <c r="D16" t="s">
        <v>131</v>
      </c>
      <c r="E16">
        <v>1974</v>
      </c>
      <c r="F16" s="8"/>
      <c r="G16">
        <v>321</v>
      </c>
      <c r="H16" s="4">
        <f>IF(B16&lt;&gt;0,((1+RIGHT(E16,2)/100)-0.1),(1+RIGHT(E16,2)/100))</f>
        <v>1.74</v>
      </c>
      <c r="I16" s="4">
        <f>+G16*H16</f>
        <v>558.54</v>
      </c>
      <c r="J16" s="4"/>
      <c r="K16">
        <v>5</v>
      </c>
      <c r="L16">
        <f>VLOOKUP(K16,Regolamento!A:B,2,0)</f>
        <v>36</v>
      </c>
      <c r="M16" s="4">
        <f t="shared" si="0"/>
        <v>1.65</v>
      </c>
      <c r="N16" s="4">
        <f t="shared" si="1"/>
        <v>1.67</v>
      </c>
      <c r="O16" s="15">
        <f t="shared" si="2"/>
        <v>99.197999999999993</v>
      </c>
      <c r="Q16" s="6">
        <f t="shared" si="3"/>
        <v>4.9384615384615387</v>
      </c>
    </row>
    <row r="17" spans="1:17" x14ac:dyDescent="0.25">
      <c r="A17" s="8" t="s">
        <v>14</v>
      </c>
      <c r="B17" s="81">
        <f>VLOOKUP(A17,concorrenti!A:E,5,0)</f>
        <v>0</v>
      </c>
      <c r="C17" t="s">
        <v>132</v>
      </c>
      <c r="D17" t="s">
        <v>133</v>
      </c>
      <c r="E17">
        <v>1971</v>
      </c>
      <c r="G17">
        <v>328</v>
      </c>
      <c r="H17" s="4">
        <f>IF(B17&lt;&gt;0,((1+RIGHT(E17,2)/100)-0.1),(1+RIGHT(E17,2)/100))</f>
        <v>1.71</v>
      </c>
      <c r="I17" s="4">
        <f>+G17*H17</f>
        <v>560.88</v>
      </c>
      <c r="J17" s="4"/>
      <c r="K17">
        <v>6</v>
      </c>
      <c r="L17">
        <f>VLOOKUP(K17,Regolamento!A:B,2,0)</f>
        <v>35</v>
      </c>
      <c r="M17" s="4">
        <f t="shared" si="0"/>
        <v>1.65</v>
      </c>
      <c r="N17" s="4">
        <f t="shared" si="1"/>
        <v>1.67</v>
      </c>
      <c r="O17" s="15">
        <f t="shared" si="2"/>
        <v>96.442499999999995</v>
      </c>
      <c r="Q17" s="6">
        <f t="shared" si="3"/>
        <v>5.046153846153846</v>
      </c>
    </row>
    <row r="18" spans="1:17" x14ac:dyDescent="0.25">
      <c r="A18" s="8" t="s">
        <v>12</v>
      </c>
      <c r="B18" s="81">
        <f>VLOOKUP(A18,concorrenti!A:E,5,0)</f>
        <v>0</v>
      </c>
      <c r="C18" t="s">
        <v>129</v>
      </c>
      <c r="D18" t="s">
        <v>130</v>
      </c>
      <c r="E18">
        <v>1960</v>
      </c>
      <c r="G18">
        <v>367</v>
      </c>
      <c r="H18" s="4">
        <f>IF(B18&lt;&gt;0,((1+RIGHT(E18,2)/100)-0.1),(1+RIGHT(E18,2)/100))</f>
        <v>1.6</v>
      </c>
      <c r="I18" s="4">
        <f>+G18*H18</f>
        <v>587.20000000000005</v>
      </c>
      <c r="J18" s="4"/>
      <c r="K18">
        <v>7</v>
      </c>
      <c r="L18">
        <f>VLOOKUP(K18,Regolamento!A:B,2,0)</f>
        <v>34</v>
      </c>
      <c r="M18" s="4">
        <f t="shared" si="0"/>
        <v>1.65</v>
      </c>
      <c r="N18" s="4">
        <f t="shared" si="1"/>
        <v>1.67</v>
      </c>
      <c r="O18" s="15">
        <f t="shared" si="2"/>
        <v>93.686999999999983</v>
      </c>
      <c r="Q18" s="6">
        <f t="shared" si="3"/>
        <v>5.6461538461538465</v>
      </c>
    </row>
    <row r="19" spans="1:17" x14ac:dyDescent="0.25">
      <c r="A19" s="8" t="s">
        <v>23</v>
      </c>
      <c r="B19" s="81">
        <f>VLOOKUP(A19,concorrenti!A:E,5,0)</f>
        <v>0</v>
      </c>
      <c r="C19" t="s">
        <v>125</v>
      </c>
      <c r="D19" t="s">
        <v>126</v>
      </c>
      <c r="E19">
        <v>1976</v>
      </c>
      <c r="F19" s="8"/>
      <c r="G19">
        <v>351</v>
      </c>
      <c r="H19" s="4">
        <f>IF(B19&lt;&gt;0,((1+RIGHT(E19,2)/100)-0.1),(1+RIGHT(E19,2)/100))</f>
        <v>1.76</v>
      </c>
      <c r="I19" s="4">
        <f>+G19*H19</f>
        <v>617.76</v>
      </c>
      <c r="J19" s="4"/>
      <c r="K19">
        <v>8</v>
      </c>
      <c r="L19">
        <f>VLOOKUP(K19,Regolamento!A:B,2,0)</f>
        <v>33</v>
      </c>
      <c r="M19" s="4">
        <f t="shared" si="0"/>
        <v>1.65</v>
      </c>
      <c r="N19" s="4">
        <f t="shared" si="1"/>
        <v>1.67</v>
      </c>
      <c r="O19" s="15">
        <f t="shared" si="2"/>
        <v>90.931499999999986</v>
      </c>
      <c r="Q19" s="6">
        <f t="shared" si="3"/>
        <v>5.4</v>
      </c>
    </row>
    <row r="20" spans="1:17" x14ac:dyDescent="0.25">
      <c r="A20" s="8" t="s">
        <v>72</v>
      </c>
      <c r="B20" s="81" t="str">
        <f>VLOOKUP(A20,concorrenti!A:E,5,0)</f>
        <v>X</v>
      </c>
      <c r="C20" t="s">
        <v>135</v>
      </c>
      <c r="D20" t="s">
        <v>136</v>
      </c>
      <c r="E20">
        <v>1938</v>
      </c>
      <c r="G20">
        <v>513</v>
      </c>
      <c r="H20" s="4">
        <f>IF(B20&lt;&gt;0,((1+RIGHT(E20,2)/100)-0.1),(1+RIGHT(E20,2)/100))</f>
        <v>1.2799999999999998</v>
      </c>
      <c r="I20" s="4">
        <f>+G20*H20</f>
        <v>656.63999999999987</v>
      </c>
      <c r="J20" s="4"/>
      <c r="K20">
        <v>9</v>
      </c>
      <c r="L20">
        <f>VLOOKUP(K20,Regolamento!A:B,2,0)</f>
        <v>32</v>
      </c>
      <c r="M20" s="4">
        <f t="shared" si="0"/>
        <v>1.65</v>
      </c>
      <c r="N20" s="4">
        <f t="shared" si="1"/>
        <v>1.67</v>
      </c>
      <c r="O20" s="15">
        <f t="shared" si="2"/>
        <v>88.175999999999988</v>
      </c>
      <c r="Q20" s="6">
        <f t="shared" si="3"/>
        <v>7.8923076923076927</v>
      </c>
    </row>
    <row r="21" spans="1:17" x14ac:dyDescent="0.25">
      <c r="A21" s="8" t="s">
        <v>17</v>
      </c>
      <c r="B21" s="81">
        <f>VLOOKUP(A21,concorrenti!A:E,5,0)</f>
        <v>0</v>
      </c>
      <c r="C21" t="s">
        <v>129</v>
      </c>
      <c r="D21" t="s">
        <v>134</v>
      </c>
      <c r="E21">
        <v>1962</v>
      </c>
      <c r="G21">
        <v>415</v>
      </c>
      <c r="H21" s="4">
        <f>IF(B21&lt;&gt;0,((1+RIGHT(E21,2)/100)-0.1),(1+RIGHT(E21,2)/100))</f>
        <v>1.62</v>
      </c>
      <c r="I21" s="4">
        <f>+G21*H21</f>
        <v>672.30000000000007</v>
      </c>
      <c r="J21" s="4"/>
      <c r="K21">
        <v>10</v>
      </c>
      <c r="L21">
        <f>VLOOKUP(K21,Regolamento!A:B,2,0)</f>
        <v>31</v>
      </c>
      <c r="M21" s="4">
        <f t="shared" si="0"/>
        <v>1.65</v>
      </c>
      <c r="N21" s="4">
        <f t="shared" si="1"/>
        <v>1.67</v>
      </c>
      <c r="O21" s="15">
        <f t="shared" si="2"/>
        <v>85.42049999999999</v>
      </c>
      <c r="Q21" s="6">
        <f t="shared" si="3"/>
        <v>6.384615384615385</v>
      </c>
    </row>
    <row r="22" spans="1:17" x14ac:dyDescent="0.25">
      <c r="A22" s="8" t="s">
        <v>70</v>
      </c>
      <c r="B22" s="81">
        <f>VLOOKUP(A22,concorrenti!A:E,5,0)</f>
        <v>0</v>
      </c>
      <c r="C22" t="s">
        <v>132</v>
      </c>
      <c r="D22" t="s">
        <v>133</v>
      </c>
      <c r="E22">
        <v>1974</v>
      </c>
      <c r="G22">
        <v>395</v>
      </c>
      <c r="H22" s="4">
        <f>IF(B22&lt;&gt;0,((1+RIGHT(E22,2)/100)-0.1),(1+RIGHT(E22,2)/100))</f>
        <v>1.74</v>
      </c>
      <c r="I22" s="4">
        <f>+G22*H22</f>
        <v>687.3</v>
      </c>
      <c r="J22" s="4"/>
      <c r="K22">
        <v>11</v>
      </c>
      <c r="L22">
        <f>VLOOKUP(K22,Regolamento!A:B,2,0)</f>
        <v>30</v>
      </c>
      <c r="M22" s="4">
        <f t="shared" si="0"/>
        <v>1.65</v>
      </c>
      <c r="N22" s="4">
        <f t="shared" si="1"/>
        <v>1.67</v>
      </c>
      <c r="O22" s="15">
        <f t="shared" si="2"/>
        <v>82.664999999999992</v>
      </c>
      <c r="Q22" s="6">
        <f t="shared" si="3"/>
        <v>6.0769230769230766</v>
      </c>
    </row>
    <row r="23" spans="1:17" x14ac:dyDescent="0.25">
      <c r="A23" s="8" t="s">
        <v>29</v>
      </c>
      <c r="B23" s="81">
        <f>VLOOKUP(A23,concorrenti!A:E,5,0)</f>
        <v>0</v>
      </c>
      <c r="C23" t="s">
        <v>137</v>
      </c>
      <c r="D23" t="s">
        <v>138</v>
      </c>
      <c r="E23">
        <v>1973</v>
      </c>
      <c r="F23" s="8"/>
      <c r="G23">
        <v>422</v>
      </c>
      <c r="H23" s="4">
        <f>IF(B23&lt;&gt;0,((1+RIGHT(E23,2)/100)-0.1),(1+RIGHT(E23,2)/100))</f>
        <v>1.73</v>
      </c>
      <c r="I23" s="4">
        <f>+G23*H23</f>
        <v>730.06</v>
      </c>
      <c r="J23" s="4"/>
      <c r="K23">
        <v>12</v>
      </c>
      <c r="L23">
        <f>VLOOKUP(K23,Regolamento!A:B,2,0)</f>
        <v>29</v>
      </c>
      <c r="M23" s="4">
        <f t="shared" si="0"/>
        <v>1.65</v>
      </c>
      <c r="N23" s="4">
        <f t="shared" si="1"/>
        <v>1.67</v>
      </c>
      <c r="O23" s="15">
        <f t="shared" si="2"/>
        <v>79.909499999999994</v>
      </c>
      <c r="Q23" s="6">
        <f t="shared" si="3"/>
        <v>6.4923076923076923</v>
      </c>
    </row>
    <row r="24" spans="1:17" x14ac:dyDescent="0.25">
      <c r="A24" s="8" t="s">
        <v>73</v>
      </c>
      <c r="B24" s="81">
        <f>VLOOKUP(A24,concorrenti!A:E,5,0)</f>
        <v>0</v>
      </c>
      <c r="C24" t="s">
        <v>135</v>
      </c>
      <c r="D24" t="s">
        <v>139</v>
      </c>
      <c r="E24">
        <v>1971</v>
      </c>
      <c r="F24" s="8"/>
      <c r="G24">
        <v>458</v>
      </c>
      <c r="H24" s="4">
        <f>IF(B24&lt;&gt;0,((1+RIGHT(E24,2)/100)-0.1),(1+RIGHT(E24,2)/100))</f>
        <v>1.71</v>
      </c>
      <c r="I24" s="4">
        <f>+G24*H24</f>
        <v>783.18</v>
      </c>
      <c r="J24" s="4"/>
      <c r="K24">
        <v>13</v>
      </c>
      <c r="L24">
        <f>VLOOKUP(K24,Regolamento!A:B,2,0)</f>
        <v>28</v>
      </c>
      <c r="M24" s="4">
        <f t="shared" si="0"/>
        <v>1.65</v>
      </c>
      <c r="N24" s="4">
        <f t="shared" si="1"/>
        <v>1.67</v>
      </c>
      <c r="O24" s="15">
        <f t="shared" si="2"/>
        <v>77.153999999999996</v>
      </c>
      <c r="Q24" s="6">
        <f t="shared" si="3"/>
        <v>7.046153846153846</v>
      </c>
    </row>
    <row r="25" spans="1:17" x14ac:dyDescent="0.25">
      <c r="A25" s="8" t="s">
        <v>74</v>
      </c>
      <c r="B25" s="81">
        <f>VLOOKUP(A25,concorrenti!A:E,5,0)</f>
        <v>0</v>
      </c>
      <c r="C25" t="s">
        <v>140</v>
      </c>
      <c r="D25" t="s">
        <v>141</v>
      </c>
      <c r="E25">
        <v>1980</v>
      </c>
      <c r="G25">
        <v>522</v>
      </c>
      <c r="H25" s="4">
        <f>IF(B25&lt;&gt;0,((1+RIGHT(E25,2)/100)-0.1),(1+RIGHT(E25,2)/100))</f>
        <v>1.8</v>
      </c>
      <c r="I25" s="4">
        <f>+G25*H25</f>
        <v>939.6</v>
      </c>
      <c r="J25" s="4"/>
      <c r="K25">
        <v>14</v>
      </c>
      <c r="L25">
        <f>VLOOKUP(K25,Regolamento!A:B,2,0)</f>
        <v>27</v>
      </c>
      <c r="M25" s="4">
        <f t="shared" si="0"/>
        <v>1.65</v>
      </c>
      <c r="N25" s="4">
        <f t="shared" si="1"/>
        <v>1.67</v>
      </c>
      <c r="O25" s="15">
        <f t="shared" si="2"/>
        <v>74.398499999999999</v>
      </c>
      <c r="Q25" s="6">
        <f t="shared" si="3"/>
        <v>8.0307692307692307</v>
      </c>
    </row>
    <row r="26" spans="1:17" x14ac:dyDescent="0.25">
      <c r="A26" s="8" t="s">
        <v>16</v>
      </c>
      <c r="B26" s="81">
        <f>VLOOKUP(A26,concorrenti!A:E,5,0)</f>
        <v>0</v>
      </c>
      <c r="C26" t="s">
        <v>135</v>
      </c>
      <c r="D26" t="s">
        <v>142</v>
      </c>
      <c r="E26">
        <v>1961</v>
      </c>
      <c r="G26">
        <v>586</v>
      </c>
      <c r="H26" s="4">
        <f>IF(B26&lt;&gt;0,((1+RIGHT(E26,2)/100)-0.1),(1+RIGHT(E26,2)/100))</f>
        <v>1.6099999999999999</v>
      </c>
      <c r="I26" s="4">
        <f>+G26*H26</f>
        <v>943.45999999999992</v>
      </c>
      <c r="J26" s="4"/>
      <c r="K26">
        <v>15</v>
      </c>
      <c r="L26">
        <f>VLOOKUP(K26,Regolamento!A:B,2,0)</f>
        <v>26</v>
      </c>
      <c r="M26" s="4">
        <f t="shared" si="0"/>
        <v>1.65</v>
      </c>
      <c r="N26" s="4">
        <f t="shared" si="1"/>
        <v>1.67</v>
      </c>
      <c r="O26" s="15">
        <f t="shared" si="2"/>
        <v>71.643000000000001</v>
      </c>
      <c r="Q26" s="6">
        <f t="shared" si="3"/>
        <v>9.0153846153846153</v>
      </c>
    </row>
    <row r="27" spans="1:17" x14ac:dyDescent="0.25">
      <c r="A27" s="8" t="s">
        <v>75</v>
      </c>
      <c r="B27" s="81">
        <f>VLOOKUP(A27,concorrenti!A:E,5,0)</f>
        <v>0</v>
      </c>
      <c r="C27" t="s">
        <v>125</v>
      </c>
      <c r="D27" t="s">
        <v>126</v>
      </c>
      <c r="E27">
        <v>1972</v>
      </c>
      <c r="G27">
        <v>558</v>
      </c>
      <c r="H27" s="4">
        <f>IF(B27&lt;&gt;0,((1+RIGHT(E27,2)/100)-0.1),(1+RIGHT(E27,2)/100))</f>
        <v>1.72</v>
      </c>
      <c r="I27" s="4">
        <f>+G27*H27</f>
        <v>959.76</v>
      </c>
      <c r="J27" s="4"/>
      <c r="K27">
        <v>16</v>
      </c>
      <c r="L27">
        <f>VLOOKUP(K27,Regolamento!A:B,2,0)</f>
        <v>25</v>
      </c>
      <c r="M27" s="4">
        <f t="shared" si="0"/>
        <v>1.65</v>
      </c>
      <c r="N27" s="4">
        <f t="shared" si="1"/>
        <v>1.67</v>
      </c>
      <c r="O27" s="15">
        <f t="shared" si="2"/>
        <v>68.887500000000003</v>
      </c>
      <c r="Q27" s="6">
        <f t="shared" si="3"/>
        <v>8.5846153846153843</v>
      </c>
    </row>
    <row r="28" spans="1:17" x14ac:dyDescent="0.25">
      <c r="A28" s="8" t="s">
        <v>76</v>
      </c>
      <c r="B28" s="81">
        <f>VLOOKUP(A28,concorrenti!A:E,5,0)</f>
        <v>0</v>
      </c>
      <c r="C28" t="s">
        <v>122</v>
      </c>
      <c r="D28" t="s">
        <v>123</v>
      </c>
      <c r="E28">
        <v>1970</v>
      </c>
      <c r="G28">
        <v>580</v>
      </c>
      <c r="H28" s="4">
        <f>IF(B28&lt;&gt;0,((1+RIGHT(E28,2)/100)-0.1),(1+RIGHT(E28,2)/100))</f>
        <v>1.7</v>
      </c>
      <c r="I28" s="4">
        <f>+G28*H28</f>
        <v>986</v>
      </c>
      <c r="J28" s="4"/>
      <c r="K28">
        <v>17</v>
      </c>
      <c r="L28">
        <f>VLOOKUP(K28,Regolamento!A:B,2,0)</f>
        <v>24</v>
      </c>
      <c r="M28" s="4">
        <f t="shared" si="0"/>
        <v>1.65</v>
      </c>
      <c r="N28" s="4">
        <f t="shared" si="1"/>
        <v>1.67</v>
      </c>
      <c r="O28" s="15">
        <f t="shared" si="2"/>
        <v>66.131999999999991</v>
      </c>
      <c r="Q28" s="6">
        <f t="shared" si="3"/>
        <v>8.9230769230769234</v>
      </c>
    </row>
    <row r="29" spans="1:17" x14ac:dyDescent="0.25">
      <c r="A29" s="8" t="s">
        <v>77</v>
      </c>
      <c r="B29" s="81">
        <f>VLOOKUP(A29,concorrenti!A:E,5,0)</f>
        <v>0</v>
      </c>
      <c r="C29" t="s">
        <v>122</v>
      </c>
      <c r="D29" t="s">
        <v>143</v>
      </c>
      <c r="E29">
        <v>1972</v>
      </c>
      <c r="G29">
        <v>583</v>
      </c>
      <c r="H29" s="4">
        <f>IF(B29&lt;&gt;0,((1+RIGHT(E29,2)/100)-0.1),(1+RIGHT(E29,2)/100))</f>
        <v>1.72</v>
      </c>
      <c r="I29" s="4">
        <f>+G29*H29</f>
        <v>1002.76</v>
      </c>
      <c r="J29" s="4"/>
      <c r="K29">
        <v>18</v>
      </c>
      <c r="L29">
        <f>VLOOKUP(K29,Regolamento!A:B,2,0)</f>
        <v>23</v>
      </c>
      <c r="M29" s="4">
        <f t="shared" si="0"/>
        <v>1.65</v>
      </c>
      <c r="N29" s="4">
        <f t="shared" si="1"/>
        <v>1.67</v>
      </c>
      <c r="O29" s="15">
        <f t="shared" si="2"/>
        <v>63.376499999999993</v>
      </c>
      <c r="Q29" s="6">
        <f t="shared" si="3"/>
        <v>8.9692307692307693</v>
      </c>
    </row>
    <row r="30" spans="1:17" x14ac:dyDescent="0.25">
      <c r="A30" s="8" t="s">
        <v>28</v>
      </c>
      <c r="B30" s="81">
        <f>VLOOKUP(A30,concorrenti!A:E,5,0)</f>
        <v>0</v>
      </c>
      <c r="C30" t="s">
        <v>135</v>
      </c>
      <c r="D30" t="s">
        <v>144</v>
      </c>
      <c r="E30">
        <v>1975</v>
      </c>
      <c r="G30">
        <v>600</v>
      </c>
      <c r="H30" s="4">
        <f>IF(B30&lt;&gt;0,((1+RIGHT(E30,2)/100)-0.1),(1+RIGHT(E30,2)/100))</f>
        <v>1.75</v>
      </c>
      <c r="I30" s="4">
        <f>+G30*H30</f>
        <v>1050</v>
      </c>
      <c r="J30" s="4"/>
      <c r="K30">
        <v>19</v>
      </c>
      <c r="L30">
        <f>VLOOKUP(K30,Regolamento!A:B,2,0)</f>
        <v>22</v>
      </c>
      <c r="M30" s="4">
        <f t="shared" si="0"/>
        <v>1.65</v>
      </c>
      <c r="N30" s="4">
        <f t="shared" si="1"/>
        <v>1.67</v>
      </c>
      <c r="O30" s="15">
        <f t="shared" si="2"/>
        <v>60.620999999999995</v>
      </c>
      <c r="Q30" s="6">
        <f t="shared" si="3"/>
        <v>9.2307692307692299</v>
      </c>
    </row>
    <row r="31" spans="1:17" x14ac:dyDescent="0.25">
      <c r="A31" s="8" t="s">
        <v>78</v>
      </c>
      <c r="B31" s="81">
        <f>VLOOKUP(A31,concorrenti!A:E,5,0)</f>
        <v>0</v>
      </c>
      <c r="C31" t="s">
        <v>145</v>
      </c>
      <c r="D31" t="s">
        <v>146</v>
      </c>
      <c r="E31">
        <v>1966</v>
      </c>
      <c r="G31">
        <v>634</v>
      </c>
      <c r="H31" s="4">
        <f>IF(B31&lt;&gt;0,((1+RIGHT(E31,2)/100)-0.1),(1+RIGHT(E31,2)/100))</f>
        <v>1.6600000000000001</v>
      </c>
      <c r="I31" s="4">
        <f>+G31*H31</f>
        <v>1052.44</v>
      </c>
      <c r="J31" s="4"/>
      <c r="K31">
        <v>20</v>
      </c>
      <c r="L31">
        <f>VLOOKUP(K31,Regolamento!A:B,2,0)</f>
        <v>21</v>
      </c>
      <c r="M31" s="4">
        <f t="shared" si="0"/>
        <v>1.65</v>
      </c>
      <c r="N31" s="4">
        <f t="shared" si="1"/>
        <v>1.67</v>
      </c>
      <c r="O31" s="15">
        <f t="shared" si="2"/>
        <v>57.865499999999997</v>
      </c>
      <c r="Q31" s="6">
        <f t="shared" si="3"/>
        <v>9.7538461538461547</v>
      </c>
    </row>
    <row r="32" spans="1:17" x14ac:dyDescent="0.25">
      <c r="A32" s="8" t="s">
        <v>79</v>
      </c>
      <c r="B32" s="81">
        <f>VLOOKUP(A32,concorrenti!A:E,5,0)</f>
        <v>0</v>
      </c>
      <c r="C32" t="s">
        <v>137</v>
      </c>
      <c r="D32" t="s">
        <v>147</v>
      </c>
      <c r="E32">
        <v>1973</v>
      </c>
      <c r="G32">
        <v>713</v>
      </c>
      <c r="H32" s="4">
        <f>IF(B32&lt;&gt;0,((1+RIGHT(E32,2)/100)-0.1),(1+RIGHT(E32,2)/100))</f>
        <v>1.73</v>
      </c>
      <c r="I32" s="4">
        <f>+G32*H32</f>
        <v>1233.49</v>
      </c>
      <c r="J32" s="4"/>
      <c r="K32">
        <v>22</v>
      </c>
      <c r="L32">
        <f>VLOOKUP(K32,Regolamento!A:B,2,0)</f>
        <v>19</v>
      </c>
      <c r="M32" s="4">
        <f t="shared" si="0"/>
        <v>1.65</v>
      </c>
      <c r="N32" s="4">
        <f t="shared" si="1"/>
        <v>1.67</v>
      </c>
      <c r="O32" s="15">
        <f t="shared" si="2"/>
        <v>52.354499999999994</v>
      </c>
      <c r="Q32" s="6">
        <f t="shared" si="3"/>
        <v>10.969230769230769</v>
      </c>
    </row>
    <row r="33" spans="1:18" x14ac:dyDescent="0.25">
      <c r="A33" s="8" t="s">
        <v>13</v>
      </c>
      <c r="B33" s="81">
        <f>VLOOKUP(A33,concorrenti!A:E,5,0)</f>
        <v>0</v>
      </c>
      <c r="C33" t="s">
        <v>148</v>
      </c>
      <c r="D33" t="s">
        <v>149</v>
      </c>
      <c r="E33">
        <v>1957</v>
      </c>
      <c r="G33">
        <v>849</v>
      </c>
      <c r="H33" s="4">
        <f>IF(B33&lt;&gt;0,((1+RIGHT(E33,2)/100)-0.1),(1+RIGHT(E33,2)/100))</f>
        <v>1.5699999999999998</v>
      </c>
      <c r="I33" s="4">
        <f>+G33*H33</f>
        <v>1332.9299999999998</v>
      </c>
      <c r="J33" s="4"/>
      <c r="K33">
        <v>23</v>
      </c>
      <c r="L33">
        <f>VLOOKUP(K33,Regolamento!A:B,2,0)</f>
        <v>18</v>
      </c>
      <c r="M33" s="4">
        <f t="shared" si="0"/>
        <v>1.65</v>
      </c>
      <c r="N33" s="4">
        <f t="shared" si="1"/>
        <v>1.67</v>
      </c>
      <c r="O33" s="15">
        <f t="shared" si="2"/>
        <v>49.598999999999997</v>
      </c>
      <c r="Q33" s="6">
        <f t="shared" si="3"/>
        <v>13.061538461538461</v>
      </c>
    </row>
    <row r="34" spans="1:18" x14ac:dyDescent="0.25">
      <c r="A34" s="8" t="s">
        <v>80</v>
      </c>
      <c r="B34" s="81">
        <f>VLOOKUP(A34,concorrenti!A:E,5,0)</f>
        <v>0</v>
      </c>
      <c r="C34" t="s">
        <v>125</v>
      </c>
      <c r="D34" t="s">
        <v>150</v>
      </c>
      <c r="E34">
        <v>1971</v>
      </c>
      <c r="G34">
        <v>818</v>
      </c>
      <c r="H34" s="4">
        <f>IF(B34&lt;&gt;0,((1+RIGHT(E34,2)/100)-0.1),(1+RIGHT(E34,2)/100))</f>
        <v>1.71</v>
      </c>
      <c r="I34" s="4">
        <f>+G34*H34</f>
        <v>1398.78</v>
      </c>
      <c r="J34" s="4"/>
      <c r="K34">
        <v>24</v>
      </c>
      <c r="L34">
        <f>VLOOKUP(K34,Regolamento!A:B,2,0)</f>
        <v>17</v>
      </c>
      <c r="M34" s="4">
        <f t="shared" si="0"/>
        <v>1.65</v>
      </c>
      <c r="N34" s="4">
        <f t="shared" si="1"/>
        <v>1.67</v>
      </c>
      <c r="O34" s="15">
        <f t="shared" si="2"/>
        <v>46.843499999999992</v>
      </c>
      <c r="Q34" s="6">
        <f t="shared" si="3"/>
        <v>12.584615384615384</v>
      </c>
    </row>
    <row r="35" spans="1:18" x14ac:dyDescent="0.25">
      <c r="A35" s="8" t="s">
        <v>81</v>
      </c>
      <c r="B35" s="81">
        <f>VLOOKUP(A35,concorrenti!A:E,5,0)</f>
        <v>0</v>
      </c>
      <c r="C35" t="s">
        <v>122</v>
      </c>
      <c r="D35" t="s">
        <v>151</v>
      </c>
      <c r="E35">
        <v>1968</v>
      </c>
      <c r="G35">
        <v>853</v>
      </c>
      <c r="H35" s="4">
        <f>IF(B35&lt;&gt;0,((1+RIGHT(E35,2)/100)-0.1),(1+RIGHT(E35,2)/100))</f>
        <v>1.6800000000000002</v>
      </c>
      <c r="I35" s="4">
        <f>+G35*H35</f>
        <v>1433.0400000000002</v>
      </c>
      <c r="J35" s="4"/>
      <c r="K35">
        <v>25</v>
      </c>
      <c r="L35">
        <f>VLOOKUP(K35,Regolamento!A:B,2,0)</f>
        <v>16</v>
      </c>
      <c r="M35" s="4">
        <f t="shared" si="0"/>
        <v>1.65</v>
      </c>
      <c r="N35" s="4">
        <f t="shared" si="1"/>
        <v>1.67</v>
      </c>
      <c r="O35" s="15">
        <f t="shared" si="2"/>
        <v>44.087999999999994</v>
      </c>
      <c r="Q35" s="6">
        <f t="shared" si="3"/>
        <v>13.123076923076923</v>
      </c>
    </row>
    <row r="36" spans="1:18" x14ac:dyDescent="0.25">
      <c r="A36" s="8" t="s">
        <v>31</v>
      </c>
      <c r="B36" s="81">
        <f>VLOOKUP(A36,concorrenti!A:E,5,0)</f>
        <v>0</v>
      </c>
      <c r="C36" t="s">
        <v>122</v>
      </c>
      <c r="D36" s="74" t="s">
        <v>154</v>
      </c>
      <c r="E36">
        <v>1975</v>
      </c>
      <c r="G36">
        <v>882</v>
      </c>
      <c r="H36" s="4">
        <f>IF(B36&lt;&gt;0,((1+RIGHT(E36,2)/100)-0.1),(1+RIGHT(E36,2)/100))</f>
        <v>1.75</v>
      </c>
      <c r="I36" s="4">
        <f>+G36*H36</f>
        <v>1543.5</v>
      </c>
      <c r="J36" s="4"/>
      <c r="K36">
        <v>26</v>
      </c>
      <c r="L36">
        <f>VLOOKUP(K36,Regolamento!A:B,2,0)</f>
        <v>15</v>
      </c>
      <c r="M36" s="4">
        <f t="shared" si="0"/>
        <v>1.65</v>
      </c>
      <c r="N36" s="4">
        <f t="shared" si="1"/>
        <v>1.67</v>
      </c>
      <c r="O36" s="15">
        <f t="shared" si="2"/>
        <v>41.332499999999996</v>
      </c>
      <c r="Q36" s="6">
        <f t="shared" si="3"/>
        <v>13.569230769230769</v>
      </c>
    </row>
    <row r="37" spans="1:18" x14ac:dyDescent="0.25">
      <c r="A37" s="8" t="s">
        <v>82</v>
      </c>
      <c r="B37" s="81">
        <f>VLOOKUP(A37,concorrenti!A:E,5,0)</f>
        <v>0</v>
      </c>
      <c r="C37" t="s">
        <v>152</v>
      </c>
      <c r="D37" t="s">
        <v>153</v>
      </c>
      <c r="E37">
        <v>1981</v>
      </c>
      <c r="G37">
        <v>1032</v>
      </c>
      <c r="H37" s="4">
        <f>IF(B37&lt;&gt;0,((1+RIGHT(E37,2)/100)-0.1),(1+RIGHT(E37,2)/100))</f>
        <v>1.81</v>
      </c>
      <c r="I37" s="4">
        <f>+G37*H37</f>
        <v>1867.92</v>
      </c>
      <c r="J37" s="4"/>
      <c r="K37">
        <v>27</v>
      </c>
      <c r="L37">
        <f>VLOOKUP(K37,Regolamento!A:B,2,0)</f>
        <v>14</v>
      </c>
      <c r="M37" s="4">
        <f t="shared" si="0"/>
        <v>1.65</v>
      </c>
      <c r="N37" s="4">
        <f t="shared" si="1"/>
        <v>1.67</v>
      </c>
      <c r="O37" s="15">
        <f t="shared" si="2"/>
        <v>38.576999999999998</v>
      </c>
      <c r="Q37" s="6">
        <f t="shared" si="3"/>
        <v>15.876923076923077</v>
      </c>
    </row>
    <row r="38" spans="1:18" x14ac:dyDescent="0.25">
      <c r="A38" s="8" t="s">
        <v>40</v>
      </c>
      <c r="B38" s="81">
        <f>VLOOKUP(A38,concorrenti!A:E,5,0)</f>
        <v>0</v>
      </c>
      <c r="C38" t="s">
        <v>145</v>
      </c>
      <c r="D38" t="s">
        <v>33</v>
      </c>
      <c r="E38">
        <v>1957</v>
      </c>
      <c r="G38">
        <v>1414</v>
      </c>
      <c r="H38" s="4">
        <f>IF(B38&lt;&gt;0,((1+RIGHT(E38,2)/100)-0.1),(1+RIGHT(E38,2)/100))</f>
        <v>1.5699999999999998</v>
      </c>
      <c r="I38" s="4">
        <f>+G38*H38</f>
        <v>2219.9799999999996</v>
      </c>
      <c r="J38" s="4"/>
      <c r="K38">
        <v>29</v>
      </c>
      <c r="L38">
        <f>VLOOKUP(K38,Regolamento!A:B,2,0)</f>
        <v>12</v>
      </c>
      <c r="M38" s="4">
        <f t="shared" si="0"/>
        <v>1.65</v>
      </c>
      <c r="N38" s="4">
        <f t="shared" si="1"/>
        <v>1.67</v>
      </c>
      <c r="O38" s="15">
        <f t="shared" si="2"/>
        <v>33.065999999999995</v>
      </c>
      <c r="Q38" s="6">
        <f t="shared" si="3"/>
        <v>21.753846153846155</v>
      </c>
    </row>
    <row r="39" spans="1:18" x14ac:dyDescent="0.25">
      <c r="A39" s="8" t="s">
        <v>30</v>
      </c>
      <c r="B39" s="81">
        <f>VLOOKUP(A39,concorrenti!A:E,5,0)</f>
        <v>0</v>
      </c>
      <c r="C39" t="s">
        <v>122</v>
      </c>
      <c r="D39" t="s">
        <v>143</v>
      </c>
      <c r="E39">
        <v>1968</v>
      </c>
      <c r="G39">
        <v>1342</v>
      </c>
      <c r="H39" s="4">
        <f>IF(B39&lt;&gt;0,((1+RIGHT(E39,2)/100)-0.1),(1+RIGHT(E39,2)/100))</f>
        <v>1.6800000000000002</v>
      </c>
      <c r="I39" s="4">
        <f>+G39*H39</f>
        <v>2254.5600000000004</v>
      </c>
      <c r="J39" s="4"/>
      <c r="K39">
        <v>30</v>
      </c>
      <c r="L39">
        <f>VLOOKUP(K39,Regolamento!A:B,2,0)</f>
        <v>11</v>
      </c>
      <c r="M39" s="4">
        <f t="shared" si="0"/>
        <v>1.65</v>
      </c>
      <c r="N39" s="4">
        <f t="shared" si="1"/>
        <v>1.67</v>
      </c>
      <c r="O39" s="15">
        <f t="shared" si="2"/>
        <v>30.310499999999998</v>
      </c>
      <c r="Q39" s="6">
        <f t="shared" si="3"/>
        <v>20.646153846153847</v>
      </c>
    </row>
    <row r="40" spans="1:18" x14ac:dyDescent="0.25">
      <c r="A40" s="8" t="s">
        <v>24</v>
      </c>
      <c r="B40" s="81">
        <f>VLOOKUP(A40,concorrenti!A:E,5,0)</f>
        <v>0</v>
      </c>
      <c r="C40" t="s">
        <v>122</v>
      </c>
      <c r="D40" t="s">
        <v>123</v>
      </c>
      <c r="E40">
        <v>1974</v>
      </c>
      <c r="F40" s="8"/>
      <c r="G40">
        <v>1665</v>
      </c>
      <c r="H40" s="4">
        <f>IF(B40&lt;&gt;0,((1+RIGHT(E40,2)/100)-0.1),(1+RIGHT(E40,2)/100))</f>
        <v>1.74</v>
      </c>
      <c r="I40" s="4">
        <f>+G40*H40</f>
        <v>2897.1</v>
      </c>
      <c r="J40" s="4"/>
      <c r="K40">
        <v>31</v>
      </c>
      <c r="L40">
        <f>VLOOKUP(K40,Regolamento!A:B,2,0)</f>
        <v>10</v>
      </c>
      <c r="M40" s="4">
        <f t="shared" si="0"/>
        <v>1.65</v>
      </c>
      <c r="N40" s="4">
        <f t="shared" si="1"/>
        <v>1.67</v>
      </c>
      <c r="O40" s="15">
        <f t="shared" si="2"/>
        <v>27.555</v>
      </c>
      <c r="Q40" s="6">
        <f t="shared" si="3"/>
        <v>25.615384615384617</v>
      </c>
    </row>
    <row r="41" spans="1:18" x14ac:dyDescent="0.25">
      <c r="A41" s="8" t="s">
        <v>83</v>
      </c>
      <c r="B41" s="81">
        <f>VLOOKUP(A41,concorrenti!A:E,5,0)</f>
        <v>0</v>
      </c>
      <c r="C41" t="s">
        <v>135</v>
      </c>
      <c r="D41" t="s">
        <v>155</v>
      </c>
      <c r="E41">
        <v>1967</v>
      </c>
      <c r="G41">
        <v>2045</v>
      </c>
      <c r="H41" s="4">
        <f>IF(B41&lt;&gt;0,((1+RIGHT(E41,2)/100)-0.1),(1+RIGHT(E41,2)/100))</f>
        <v>1.67</v>
      </c>
      <c r="I41" s="4">
        <f>+G41*H41</f>
        <v>3415.1499999999996</v>
      </c>
      <c r="J41" s="4"/>
      <c r="K41">
        <v>32</v>
      </c>
      <c r="L41">
        <f>VLOOKUP(K41,Regolamento!A:B,2,0)</f>
        <v>9</v>
      </c>
      <c r="M41" s="4">
        <f t="shared" si="0"/>
        <v>1.65</v>
      </c>
      <c r="N41" s="4">
        <f t="shared" si="1"/>
        <v>1.67</v>
      </c>
      <c r="O41" s="15">
        <f t="shared" si="2"/>
        <v>24.799499999999998</v>
      </c>
      <c r="Q41" s="6">
        <f t="shared" si="3"/>
        <v>31.46153846153846</v>
      </c>
    </row>
    <row r="42" spans="1:18" x14ac:dyDescent="0.25">
      <c r="A42" s="8" t="s">
        <v>18</v>
      </c>
      <c r="B42" s="81">
        <f>VLOOKUP(A42,concorrenti!A:E,5,0)</f>
        <v>0</v>
      </c>
      <c r="C42" t="s">
        <v>135</v>
      </c>
      <c r="D42" t="s">
        <v>156</v>
      </c>
      <c r="E42">
        <v>1993</v>
      </c>
      <c r="G42">
        <v>1859</v>
      </c>
      <c r="H42" s="4">
        <f>IF(B42&lt;&gt;0,((1+RIGHT(E42,2)/100)-0.1),(1+RIGHT(E42,2)/100))</f>
        <v>1.9300000000000002</v>
      </c>
      <c r="I42" s="4">
        <f>+G42*H42</f>
        <v>3587.8700000000003</v>
      </c>
      <c r="J42" s="4"/>
      <c r="K42">
        <v>33</v>
      </c>
      <c r="L42">
        <f>VLOOKUP(K42,Regolamento!A:B,2,0)</f>
        <v>8</v>
      </c>
      <c r="M42" s="4">
        <f t="shared" si="0"/>
        <v>1.65</v>
      </c>
      <c r="N42" s="4">
        <f t="shared" si="1"/>
        <v>1.67</v>
      </c>
      <c r="O42" s="15">
        <f t="shared" ref="O42:O57" si="4">+L42*M42*N42</f>
        <v>22.043999999999997</v>
      </c>
      <c r="Q42" s="6">
        <f t="shared" si="3"/>
        <v>28.6</v>
      </c>
    </row>
    <row r="43" spans="1:18" x14ac:dyDescent="0.25">
      <c r="A43" s="8" t="s">
        <v>26</v>
      </c>
      <c r="B43" s="81">
        <f>VLOOKUP(A43,concorrenti!A:E,5,0)</f>
        <v>0</v>
      </c>
      <c r="C43" t="s">
        <v>145</v>
      </c>
      <c r="D43" t="s">
        <v>157</v>
      </c>
      <c r="E43">
        <v>1952</v>
      </c>
      <c r="F43" s="8"/>
      <c r="G43">
        <v>2568</v>
      </c>
      <c r="H43" s="4">
        <f>IF(B43&lt;&gt;0,((1+RIGHT(E43,2)/100)-0.1),(1+RIGHT(E43,2)/100))</f>
        <v>1.52</v>
      </c>
      <c r="I43" s="4">
        <f>+G43*H43</f>
        <v>3903.36</v>
      </c>
      <c r="J43" s="4"/>
      <c r="K43">
        <v>34</v>
      </c>
      <c r="L43">
        <f>VLOOKUP(K43,Regolamento!A:B,2,0)</f>
        <v>7</v>
      </c>
      <c r="M43" s="4">
        <f t="shared" si="0"/>
        <v>1.65</v>
      </c>
      <c r="N43" s="4">
        <f t="shared" si="1"/>
        <v>1.67</v>
      </c>
      <c r="O43" s="15">
        <f t="shared" si="4"/>
        <v>19.288499999999999</v>
      </c>
      <c r="Q43" s="6">
        <f t="shared" si="3"/>
        <v>39.507692307692309</v>
      </c>
    </row>
    <row r="44" spans="1:18" x14ac:dyDescent="0.25">
      <c r="A44" s="8" t="s">
        <v>84</v>
      </c>
      <c r="B44" s="81">
        <f>VLOOKUP(A44,concorrenti!A:E,5,0)</f>
        <v>0</v>
      </c>
      <c r="C44" t="s">
        <v>158</v>
      </c>
      <c r="D44" t="s">
        <v>159</v>
      </c>
      <c r="E44">
        <v>1996</v>
      </c>
      <c r="G44">
        <v>2307</v>
      </c>
      <c r="H44" s="4">
        <f>IF(B44&lt;&gt;0,((1+RIGHT(E44,2)/100)-0.1),(1+RIGHT(E44,2)/100))</f>
        <v>1.96</v>
      </c>
      <c r="I44" s="4">
        <f>+G44*H44</f>
        <v>4521.72</v>
      </c>
      <c r="J44" s="4"/>
      <c r="K44">
        <v>37</v>
      </c>
      <c r="L44">
        <f>VLOOKUP(K44,Regolamento!A:B,2,0)</f>
        <v>4</v>
      </c>
      <c r="M44" s="4">
        <f t="shared" si="0"/>
        <v>1.65</v>
      </c>
      <c r="N44" s="4">
        <f t="shared" si="1"/>
        <v>1.67</v>
      </c>
      <c r="O44" s="15">
        <f t="shared" si="4"/>
        <v>11.021999999999998</v>
      </c>
      <c r="Q44" s="6">
        <f t="shared" si="3"/>
        <v>35.492307692307691</v>
      </c>
      <c r="R44" s="66"/>
    </row>
    <row r="45" spans="1:18" x14ac:dyDescent="0.25">
      <c r="A45" s="8" t="s">
        <v>85</v>
      </c>
      <c r="B45" s="81">
        <f>VLOOKUP(A45,concorrenti!A:E,5,0)</f>
        <v>0</v>
      </c>
      <c r="C45" t="s">
        <v>145</v>
      </c>
      <c r="D45" t="s">
        <v>160</v>
      </c>
      <c r="E45">
        <v>1998</v>
      </c>
      <c r="G45">
        <v>2369</v>
      </c>
      <c r="H45" s="4">
        <f>IF(B45&lt;&gt;0,((1+RIGHT(E45,2)/100)-0.1),(1+RIGHT(E45,2)/100))</f>
        <v>1.98</v>
      </c>
      <c r="I45" s="4">
        <f>+G45*H45</f>
        <v>4690.62</v>
      </c>
      <c r="J45" s="4"/>
      <c r="K45">
        <v>38</v>
      </c>
      <c r="L45">
        <f>VLOOKUP(K45,Regolamento!A:B,2,0)</f>
        <v>3</v>
      </c>
      <c r="M45" s="4">
        <f t="shared" si="0"/>
        <v>1.65</v>
      </c>
      <c r="N45" s="4">
        <f t="shared" si="1"/>
        <v>1.67</v>
      </c>
      <c r="O45" s="15">
        <f t="shared" si="4"/>
        <v>8.2664999999999988</v>
      </c>
      <c r="Q45" s="6">
        <f t="shared" si="3"/>
        <v>36.446153846153848</v>
      </c>
    </row>
    <row r="46" spans="1:18" x14ac:dyDescent="0.25">
      <c r="A46" s="8" t="s">
        <v>300</v>
      </c>
      <c r="B46" s="81">
        <f>VLOOKUP(A46,concorrenti!A:E,5,0)</f>
        <v>0</v>
      </c>
      <c r="C46" t="s">
        <v>301</v>
      </c>
      <c r="D46" t="s">
        <v>302</v>
      </c>
      <c r="E46">
        <v>1981</v>
      </c>
      <c r="G46">
        <v>2685</v>
      </c>
      <c r="H46" s="4">
        <f>IF(B46&lt;&gt;0,((1+RIGHT(E46,2)/100)-0.1),(1+RIGHT(E46,2)/100))</f>
        <v>1.81</v>
      </c>
      <c r="I46" s="4">
        <f>+G46*H46</f>
        <v>4859.8500000000004</v>
      </c>
      <c r="J46" s="4"/>
      <c r="K46">
        <v>40</v>
      </c>
      <c r="L46">
        <f>VLOOKUP(K46,Regolamento!A:B,2,0)</f>
        <v>1</v>
      </c>
      <c r="M46" s="4">
        <f t="shared" si="0"/>
        <v>1.65</v>
      </c>
      <c r="N46" s="4">
        <f t="shared" si="1"/>
        <v>1.67</v>
      </c>
      <c r="O46" s="15">
        <f t="shared" si="4"/>
        <v>2.7554999999999996</v>
      </c>
      <c r="Q46" s="6">
        <f t="shared" si="3"/>
        <v>41.307692307692307</v>
      </c>
    </row>
    <row r="47" spans="1:18" x14ac:dyDescent="0.25">
      <c r="A47" s="8" t="s">
        <v>86</v>
      </c>
      <c r="B47" s="81">
        <f>VLOOKUP(A47,concorrenti!A:E,5,0)</f>
        <v>0</v>
      </c>
      <c r="C47" t="s">
        <v>129</v>
      </c>
      <c r="D47" t="s">
        <v>161</v>
      </c>
      <c r="E47">
        <v>1959</v>
      </c>
      <c r="G47">
        <v>3084</v>
      </c>
      <c r="H47" s="4">
        <f>IF(B47&lt;&gt;0,((1+RIGHT(E47,2)/100)-0.1),(1+RIGHT(E47,2)/100))</f>
        <v>1.5899999999999999</v>
      </c>
      <c r="I47" s="4">
        <f>+G47*H47</f>
        <v>4903.5599999999995</v>
      </c>
      <c r="J47" s="4"/>
      <c r="K47">
        <v>41</v>
      </c>
      <c r="L47">
        <f>VLOOKUP(K47,Regolamento!A:B,2,0)</f>
        <v>0.5</v>
      </c>
      <c r="M47" s="4">
        <f t="shared" si="0"/>
        <v>1.65</v>
      </c>
      <c r="N47" s="4">
        <f t="shared" si="1"/>
        <v>1.67</v>
      </c>
      <c r="O47" s="15">
        <f t="shared" si="4"/>
        <v>1.3777499999999998</v>
      </c>
      <c r="Q47" s="6">
        <f t="shared" si="3"/>
        <v>47.446153846153848</v>
      </c>
    </row>
    <row r="48" spans="1:18" x14ac:dyDescent="0.25">
      <c r="A48" s="8" t="s">
        <v>25</v>
      </c>
      <c r="B48" s="81">
        <f>VLOOKUP(A48,concorrenti!A:E,5,0)</f>
        <v>0</v>
      </c>
      <c r="C48" t="s">
        <v>125</v>
      </c>
      <c r="D48" t="s">
        <v>126</v>
      </c>
      <c r="E48">
        <v>1975</v>
      </c>
      <c r="G48">
        <v>2835</v>
      </c>
      <c r="H48" s="4">
        <f>IF(B48&lt;&gt;0,((1+RIGHT(E48,2)/100)-0.1),(1+RIGHT(E48,2)/100))</f>
        <v>1.75</v>
      </c>
      <c r="I48" s="4">
        <f>+G48*H48</f>
        <v>4961.25</v>
      </c>
      <c r="J48" s="4"/>
      <c r="K48">
        <v>42</v>
      </c>
      <c r="L48">
        <f>VLOOKUP(K48,Regolamento!A:B,2,0)</f>
        <v>0.5</v>
      </c>
      <c r="M48" s="4">
        <f t="shared" si="0"/>
        <v>1.65</v>
      </c>
      <c r="N48" s="4">
        <f t="shared" si="1"/>
        <v>1.67</v>
      </c>
      <c r="O48" s="15">
        <f t="shared" si="4"/>
        <v>1.3777499999999998</v>
      </c>
      <c r="Q48" s="6">
        <f t="shared" si="3"/>
        <v>43.615384615384613</v>
      </c>
    </row>
    <row r="49" spans="1:18" x14ac:dyDescent="0.25">
      <c r="A49" s="8" t="s">
        <v>87</v>
      </c>
      <c r="B49" s="81">
        <f>VLOOKUP(A49,concorrenti!A:E,5,0)</f>
        <v>0</v>
      </c>
      <c r="C49" t="s">
        <v>122</v>
      </c>
      <c r="D49" t="s">
        <v>162</v>
      </c>
      <c r="E49">
        <v>1957</v>
      </c>
      <c r="G49">
        <v>3503</v>
      </c>
      <c r="H49" s="4">
        <f>IF(B49&lt;&gt;0,((1+RIGHT(E49,2)/100)-0.1),(1+RIGHT(E49,2)/100))</f>
        <v>1.5699999999999998</v>
      </c>
      <c r="I49" s="4">
        <f>+G49*H49</f>
        <v>5499.7099999999991</v>
      </c>
      <c r="J49" s="4"/>
      <c r="K49">
        <v>43</v>
      </c>
      <c r="L49">
        <f>VLOOKUP(K49,Regolamento!A:B,2,0)</f>
        <v>0.5</v>
      </c>
      <c r="M49" s="4">
        <f t="shared" si="0"/>
        <v>1.65</v>
      </c>
      <c r="N49" s="4">
        <f t="shared" si="1"/>
        <v>1.67</v>
      </c>
      <c r="O49" s="15">
        <f t="shared" si="4"/>
        <v>1.3777499999999998</v>
      </c>
      <c r="Q49" s="6">
        <f t="shared" si="3"/>
        <v>53.892307692307689</v>
      </c>
      <c r="R49" s="66"/>
    </row>
    <row r="50" spans="1:18" x14ac:dyDescent="0.25">
      <c r="A50" s="8" t="s">
        <v>41</v>
      </c>
      <c r="B50" s="81">
        <f>VLOOKUP(A50,concorrenti!A:E,5,0)</f>
        <v>0</v>
      </c>
      <c r="C50" t="s">
        <v>135</v>
      </c>
      <c r="D50" t="s">
        <v>163</v>
      </c>
      <c r="E50">
        <v>1991</v>
      </c>
      <c r="G50">
        <v>3134</v>
      </c>
      <c r="H50" s="4">
        <f>IF(B50&lt;&gt;0,((1+RIGHT(E50,2)/100)-0.1),(1+RIGHT(E50,2)/100))</f>
        <v>1.9100000000000001</v>
      </c>
      <c r="I50" s="4">
        <f>+G50*H50</f>
        <v>5985.9400000000005</v>
      </c>
      <c r="J50" s="4"/>
      <c r="K50">
        <v>45</v>
      </c>
      <c r="L50">
        <f>VLOOKUP(K50,Regolamento!A:B,2,0)</f>
        <v>0.5</v>
      </c>
      <c r="M50" s="4">
        <f t="shared" si="0"/>
        <v>1.65</v>
      </c>
      <c r="N50" s="4">
        <f t="shared" si="1"/>
        <v>1.67</v>
      </c>
      <c r="O50" s="15">
        <f t="shared" si="4"/>
        <v>1.3777499999999998</v>
      </c>
      <c r="Q50" s="6">
        <f t="shared" si="3"/>
        <v>48.215384615384615</v>
      </c>
    </row>
    <row r="51" spans="1:18" x14ac:dyDescent="0.25">
      <c r="A51" s="8" t="s">
        <v>88</v>
      </c>
      <c r="B51" s="81">
        <f>VLOOKUP(A51,concorrenti!A:E,5,0)</f>
        <v>0</v>
      </c>
      <c r="C51" t="s">
        <v>127</v>
      </c>
      <c r="D51" t="s">
        <v>165</v>
      </c>
      <c r="E51">
        <v>1965</v>
      </c>
      <c r="F51" s="8"/>
      <c r="G51">
        <v>5590</v>
      </c>
      <c r="H51" s="4">
        <f>IF(B51&lt;&gt;0,((1+RIGHT(E51,2)/100)-0.1),(1+RIGHT(E51,2)/100))</f>
        <v>1.65</v>
      </c>
      <c r="I51" s="4">
        <f>+G51*H51</f>
        <v>9223.5</v>
      </c>
      <c r="J51" s="4"/>
      <c r="K51">
        <v>46</v>
      </c>
      <c r="L51">
        <f>VLOOKUP(K51,Regolamento!A:B,2,0)</f>
        <v>0.5</v>
      </c>
      <c r="M51" s="4">
        <f t="shared" si="0"/>
        <v>1.65</v>
      </c>
      <c r="N51" s="4">
        <f t="shared" si="1"/>
        <v>1.67</v>
      </c>
      <c r="O51" s="15">
        <f t="shared" si="4"/>
        <v>1.3777499999999998</v>
      </c>
      <c r="Q51" s="6">
        <f t="shared" si="3"/>
        <v>86</v>
      </c>
    </row>
    <row r="52" spans="1:18" x14ac:dyDescent="0.25">
      <c r="A52" s="8" t="s">
        <v>89</v>
      </c>
      <c r="B52" s="81">
        <f>VLOOKUP(A52,concorrenti!A:E,5,0)</f>
        <v>0</v>
      </c>
      <c r="C52" t="s">
        <v>122</v>
      </c>
      <c r="D52" t="s">
        <v>166</v>
      </c>
      <c r="E52">
        <v>1987</v>
      </c>
      <c r="G52">
        <v>4941</v>
      </c>
      <c r="H52" s="4">
        <f>IF(B52&lt;&gt;0,((1+RIGHT(E52,2)/100)-0.1),(1+RIGHT(E52,2)/100))</f>
        <v>1.87</v>
      </c>
      <c r="I52" s="4">
        <f>+G52*H52</f>
        <v>9239.67</v>
      </c>
      <c r="J52" s="4"/>
      <c r="K52">
        <v>48</v>
      </c>
      <c r="L52">
        <f>VLOOKUP(K52,Regolamento!A:B,2,0)</f>
        <v>0.5</v>
      </c>
      <c r="M52" s="4">
        <f t="shared" si="0"/>
        <v>1.65</v>
      </c>
      <c r="N52" s="4">
        <f t="shared" si="1"/>
        <v>1.67</v>
      </c>
      <c r="O52" s="15">
        <f t="shared" si="4"/>
        <v>1.3777499999999998</v>
      </c>
      <c r="Q52" s="6">
        <f t="shared" si="3"/>
        <v>76.015384615384619</v>
      </c>
    </row>
    <row r="53" spans="1:18" x14ac:dyDescent="0.25">
      <c r="A53" s="8" t="s">
        <v>90</v>
      </c>
      <c r="B53" s="81">
        <f>VLOOKUP(A53,concorrenti!A:E,5,0)</f>
        <v>0</v>
      </c>
      <c r="C53" t="s">
        <v>135</v>
      </c>
      <c r="D53" t="s">
        <v>155</v>
      </c>
      <c r="E53">
        <v>1975</v>
      </c>
      <c r="G53">
        <v>6510</v>
      </c>
      <c r="H53" s="4">
        <f>IF(B53&lt;&gt;0,((1+RIGHT(E53,2)/100)-0.1),(1+RIGHT(E53,2)/100))</f>
        <v>1.75</v>
      </c>
      <c r="I53" s="4">
        <f>+G53*H53</f>
        <v>11392.5</v>
      </c>
      <c r="J53" s="4"/>
      <c r="K53">
        <v>49</v>
      </c>
      <c r="L53">
        <f>VLOOKUP(K53,Regolamento!A:B,2,0)</f>
        <v>0.5</v>
      </c>
      <c r="M53" s="4">
        <f t="shared" si="0"/>
        <v>1.65</v>
      </c>
      <c r="N53" s="4">
        <f t="shared" si="1"/>
        <v>1.67</v>
      </c>
      <c r="O53" s="15">
        <f t="shared" si="4"/>
        <v>1.3777499999999998</v>
      </c>
      <c r="Q53" s="6">
        <f t="shared" si="3"/>
        <v>100.15384615384616</v>
      </c>
    </row>
    <row r="54" spans="1:18" x14ac:dyDescent="0.25">
      <c r="A54" s="8" t="s">
        <v>91</v>
      </c>
      <c r="B54" s="81">
        <f>VLOOKUP(A54,concorrenti!A:E,5,0)</f>
        <v>0</v>
      </c>
      <c r="C54" t="s">
        <v>122</v>
      </c>
      <c r="D54" s="74" t="s">
        <v>167</v>
      </c>
      <c r="E54">
        <v>1995</v>
      </c>
      <c r="G54">
        <v>6339</v>
      </c>
      <c r="H54" s="4">
        <f>IF(B54&lt;&gt;0,((1+RIGHT(E54,2)/100)-0.1),(1+RIGHT(E54,2)/100))</f>
        <v>1.95</v>
      </c>
      <c r="I54" s="4">
        <f>+G54*H54</f>
        <v>12361.05</v>
      </c>
      <c r="J54" s="4"/>
      <c r="K54">
        <v>50</v>
      </c>
      <c r="L54">
        <f>VLOOKUP(K54,Regolamento!A:B,2,0)</f>
        <v>0.5</v>
      </c>
      <c r="M54" s="4">
        <f t="shared" si="0"/>
        <v>1.65</v>
      </c>
      <c r="N54" s="4">
        <f t="shared" si="1"/>
        <v>1.67</v>
      </c>
      <c r="O54" s="15">
        <f t="shared" si="4"/>
        <v>1.3777499999999998</v>
      </c>
      <c r="Q54" s="6">
        <f t="shared" si="3"/>
        <v>97.523076923076928</v>
      </c>
    </row>
    <row r="55" spans="1:18" x14ac:dyDescent="0.25">
      <c r="A55" s="8" t="s">
        <v>92</v>
      </c>
      <c r="B55" s="81">
        <f>VLOOKUP(A55,concorrenti!A:E,5,0)</f>
        <v>0</v>
      </c>
      <c r="C55" t="s">
        <v>129</v>
      </c>
      <c r="D55" t="s">
        <v>134</v>
      </c>
      <c r="E55">
        <v>1963</v>
      </c>
      <c r="G55">
        <v>8065</v>
      </c>
      <c r="H55" s="4">
        <f>IF(B55&lt;&gt;0,((1+RIGHT(E55,2)/100)-0.1),(1+RIGHT(E55,2)/100))</f>
        <v>1.63</v>
      </c>
      <c r="I55" s="4">
        <f>+G55*H55</f>
        <v>13145.949999999999</v>
      </c>
      <c r="J55" s="4"/>
      <c r="K55">
        <v>52</v>
      </c>
      <c r="L55">
        <f>VLOOKUP(K55,Regolamento!A:B,2,0)</f>
        <v>0.5</v>
      </c>
      <c r="M55" s="4">
        <f t="shared" si="0"/>
        <v>1.65</v>
      </c>
      <c r="N55" s="4">
        <f t="shared" si="1"/>
        <v>1.67</v>
      </c>
      <c r="O55" s="15">
        <f t="shared" si="4"/>
        <v>1.3777499999999998</v>
      </c>
      <c r="Q55" s="6">
        <f t="shared" si="3"/>
        <v>124.07692307692308</v>
      </c>
    </row>
    <row r="56" spans="1:18" x14ac:dyDescent="0.25">
      <c r="A56" s="8" t="s">
        <v>93</v>
      </c>
      <c r="B56" s="81">
        <f>VLOOKUP(A56,concorrenti!A:E,5,0)</f>
        <v>0</v>
      </c>
      <c r="C56" t="s">
        <v>135</v>
      </c>
      <c r="D56" t="s">
        <v>144</v>
      </c>
      <c r="E56">
        <v>1975</v>
      </c>
      <c r="F56" s="8"/>
      <c r="G56">
        <v>9918</v>
      </c>
      <c r="H56" s="4">
        <f>IF(B56&lt;&gt;0,((1+RIGHT(E56,2)/100)-0.1),(1+RIGHT(E56,2)/100))</f>
        <v>1.75</v>
      </c>
      <c r="I56" s="4">
        <f>+G56*H56</f>
        <v>17356.5</v>
      </c>
      <c r="J56" s="4"/>
      <c r="K56">
        <v>54</v>
      </c>
      <c r="L56">
        <f>VLOOKUP(K56,Regolamento!A:B,2,0)</f>
        <v>0.5</v>
      </c>
      <c r="M56" s="4">
        <f t="shared" si="0"/>
        <v>1.65</v>
      </c>
      <c r="N56" s="4">
        <f t="shared" si="1"/>
        <v>1.67</v>
      </c>
      <c r="O56" s="15">
        <f t="shared" si="4"/>
        <v>1.3777499999999998</v>
      </c>
      <c r="Q56" s="6">
        <f t="shared" si="3"/>
        <v>152.58461538461538</v>
      </c>
      <c r="R56" s="66"/>
    </row>
    <row r="57" spans="1:18" x14ac:dyDescent="0.25">
      <c r="A57" s="8" t="s">
        <v>95</v>
      </c>
      <c r="B57" s="81">
        <f>VLOOKUP(A57,concorrenti!A:E,5,0)</f>
        <v>0</v>
      </c>
      <c r="C57" t="s">
        <v>164</v>
      </c>
      <c r="D57" t="s">
        <v>169</v>
      </c>
      <c r="E57">
        <v>2002</v>
      </c>
      <c r="G57">
        <v>17112</v>
      </c>
      <c r="H57" s="4">
        <f>IF(B57&lt;&gt;0,((1+RIGHT(E57,2)/100)-0.1),(1+RIGHT(E57,2)/100))</f>
        <v>1.02</v>
      </c>
      <c r="I57" s="4">
        <f>+G57*H57</f>
        <v>17454.240000000002</v>
      </c>
      <c r="J57" s="4"/>
      <c r="K57">
        <v>56</v>
      </c>
      <c r="L57">
        <f>VLOOKUP(K57,Regolamento!A:B,2,0)</f>
        <v>0.5</v>
      </c>
      <c r="M57" s="4">
        <f t="shared" si="0"/>
        <v>1.65</v>
      </c>
      <c r="N57" s="4">
        <f t="shared" si="1"/>
        <v>1.67</v>
      </c>
      <c r="O57" s="15">
        <f t="shared" si="4"/>
        <v>1.3777499999999998</v>
      </c>
      <c r="Q57" s="6">
        <f t="shared" si="3"/>
        <v>263.26153846153846</v>
      </c>
      <c r="R57" s="66"/>
    </row>
    <row r="58" spans="1:18" x14ac:dyDescent="0.25">
      <c r="A58" s="8" t="s">
        <v>94</v>
      </c>
      <c r="B58" s="81">
        <f>VLOOKUP(A58,concorrenti!A:E,5,0)</f>
        <v>0</v>
      </c>
      <c r="C58" t="s">
        <v>137</v>
      </c>
      <c r="D58" t="s">
        <v>168</v>
      </c>
      <c r="E58">
        <v>1998</v>
      </c>
      <c r="G58">
        <v>12212</v>
      </c>
      <c r="H58" s="4">
        <f>IF(B58&lt;&gt;0,((1+RIGHT(E58,2)/100)-0.1),(1+RIGHT(E58,2)/100))</f>
        <v>1.98</v>
      </c>
      <c r="I58" s="4">
        <f>+G58*H58</f>
        <v>24179.759999999998</v>
      </c>
      <c r="J58" s="4"/>
      <c r="K58">
        <v>57</v>
      </c>
      <c r="L58">
        <f>VLOOKUP(K58,Regolamento!A:B,2,0)</f>
        <v>0.5</v>
      </c>
      <c r="M58" s="4">
        <f t="shared" ref="M58" si="5">1+D$5/100</f>
        <v>1.65</v>
      </c>
      <c r="N58" s="4">
        <f t="shared" ref="N58" si="6">1+D$6/100</f>
        <v>1.67</v>
      </c>
      <c r="O58" s="15">
        <f t="shared" ref="O58" si="7">+L58*M58*N58</f>
        <v>1.3777499999999998</v>
      </c>
      <c r="Q58" s="6">
        <f t="shared" ref="Q58" si="8">+G58/D$5</f>
        <v>187.87692307692308</v>
      </c>
      <c r="R58" s="66"/>
    </row>
    <row r="60" spans="1:18" x14ac:dyDescent="0.25">
      <c r="O60" s="6">
        <f>SUM(O12:O59)</f>
        <v>2204.4000000000015</v>
      </c>
    </row>
    <row r="61" spans="1:18" x14ac:dyDescent="0.25">
      <c r="O61" s="6">
        <f>+O60-Generale!F3</f>
        <v>0</v>
      </c>
    </row>
  </sheetData>
  <sortState xmlns:xlrd2="http://schemas.microsoft.com/office/spreadsheetml/2017/richdata2" ref="A12:I58">
    <sortCondition ref="I12:I58"/>
  </sortState>
  <mergeCells count="3">
    <mergeCell ref="M8:N8"/>
    <mergeCell ref="G1:O1"/>
    <mergeCell ref="G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Q67"/>
  <sheetViews>
    <sheetView workbookViewId="0">
      <selection activeCell="A27" sqref="A27"/>
    </sheetView>
  </sheetViews>
  <sheetFormatPr defaultRowHeight="14.3" x14ac:dyDescent="0.25"/>
  <cols>
    <col min="1" max="1" width="25.125" bestFit="1" customWidth="1"/>
    <col min="2" max="2" width="7.875" style="12" bestFit="1" customWidth="1"/>
    <col min="3" max="3" width="13.75" bestFit="1" customWidth="1"/>
    <col min="4" max="4" width="24.25" bestFit="1" customWidth="1"/>
    <col min="5" max="5" width="5.5" bestFit="1" customWidth="1"/>
    <col min="6" max="6" width="2.625" customWidth="1"/>
    <col min="7" max="7" width="7.875" bestFit="1" customWidth="1"/>
    <col min="8" max="8" width="5.625" style="13" bestFit="1" customWidth="1"/>
    <col min="9" max="9" width="10.125" bestFit="1" customWidth="1"/>
    <col min="10" max="10" width="2.375" customWidth="1"/>
    <col min="11" max="11" width="5.75" bestFit="1" customWidth="1"/>
    <col min="12" max="12" width="5.5" bestFit="1" customWidth="1"/>
    <col min="13" max="13" width="5.875" bestFit="1" customWidth="1"/>
    <col min="14" max="14" width="8" style="6" bestFit="1" customWidth="1"/>
    <col min="15" max="15" width="9.125" bestFit="1" customWidth="1"/>
    <col min="17" max="17" width="7.625" bestFit="1" customWidth="1"/>
  </cols>
  <sheetData>
    <row r="1" spans="1:17" ht="15.65" x14ac:dyDescent="0.25">
      <c r="A1" t="s">
        <v>47</v>
      </c>
      <c r="F1" s="101" t="s">
        <v>102</v>
      </c>
      <c r="G1" s="101"/>
      <c r="H1" s="101"/>
      <c r="I1" s="101"/>
      <c r="J1" s="101"/>
      <c r="K1" s="101"/>
      <c r="L1" s="101"/>
      <c r="M1" s="101"/>
      <c r="N1" s="101"/>
    </row>
    <row r="2" spans="1:17" x14ac:dyDescent="0.25">
      <c r="A2" t="s">
        <v>48</v>
      </c>
      <c r="D2" s="35">
        <v>45011</v>
      </c>
      <c r="H2" s="11"/>
      <c r="M2" s="6"/>
    </row>
    <row r="3" spans="1:17" x14ac:dyDescent="0.25">
      <c r="A3" t="s">
        <v>65</v>
      </c>
      <c r="D3" s="35" t="s">
        <v>103</v>
      </c>
      <c r="F3" t="s">
        <v>297</v>
      </c>
      <c r="H3" s="11"/>
      <c r="M3" s="6"/>
    </row>
    <row r="4" spans="1:17" x14ac:dyDescent="0.25">
      <c r="A4" t="s">
        <v>52</v>
      </c>
      <c r="D4" s="1" t="s">
        <v>299</v>
      </c>
      <c r="H4" s="11"/>
      <c r="M4" s="6"/>
    </row>
    <row r="5" spans="1:17" x14ac:dyDescent="0.25">
      <c r="A5" t="s">
        <v>50</v>
      </c>
      <c r="D5" s="1">
        <v>65</v>
      </c>
      <c r="H5" s="11"/>
      <c r="M5" s="6"/>
    </row>
    <row r="6" spans="1:17" x14ac:dyDescent="0.25">
      <c r="A6" t="s">
        <v>51</v>
      </c>
      <c r="D6" s="1">
        <v>90</v>
      </c>
      <c r="H6" s="11"/>
      <c r="M6" s="6"/>
    </row>
    <row r="7" spans="1:17" x14ac:dyDescent="0.25">
      <c r="H7" s="1"/>
      <c r="I7" s="11"/>
      <c r="O7" s="6"/>
    </row>
    <row r="8" spans="1:17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7" x14ac:dyDescent="0.25">
      <c r="G9" s="20" t="s">
        <v>36</v>
      </c>
      <c r="H9" s="21" t="s">
        <v>38</v>
      </c>
      <c r="I9" s="22" t="s">
        <v>0</v>
      </c>
      <c r="J9" s="7"/>
      <c r="K9" s="28"/>
      <c r="L9" s="20" t="s">
        <v>0</v>
      </c>
      <c r="M9" s="21" t="s">
        <v>9</v>
      </c>
      <c r="N9" s="21" t="s">
        <v>5</v>
      </c>
      <c r="O9" s="22" t="s">
        <v>11</v>
      </c>
    </row>
    <row r="10" spans="1:17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1" spans="1:17" x14ac:dyDescent="0.25">
      <c r="H11" s="4"/>
      <c r="I11" s="13"/>
      <c r="N11"/>
      <c r="O11" s="6"/>
      <c r="Q11" s="3" t="s">
        <v>170</v>
      </c>
    </row>
    <row r="12" spans="1:17" x14ac:dyDescent="0.25">
      <c r="A12" t="s">
        <v>223</v>
      </c>
      <c r="B12" s="12">
        <f>VLOOKUP(A12,concorrenti!A:E,5,1)</f>
        <v>0</v>
      </c>
      <c r="C12" t="s">
        <v>122</v>
      </c>
      <c r="D12" t="s">
        <v>274</v>
      </c>
      <c r="E12" s="78">
        <v>1956</v>
      </c>
      <c r="G12">
        <v>188</v>
      </c>
      <c r="H12" s="4">
        <f t="shared" ref="H12:H43" si="0">IF(B12&lt;&gt;0,((1+RIGHT(E12,2)/100)-0.1),(1+RIGHT(E12,2)/100))</f>
        <v>1.56</v>
      </c>
      <c r="I12" s="14">
        <f t="shared" ref="I12:I43" si="1">+G12*H12</f>
        <v>293.28000000000003</v>
      </c>
      <c r="J12" s="5"/>
      <c r="K12">
        <v>1</v>
      </c>
      <c r="L12">
        <f>VLOOKUP(K12,Regolamento!A:B,2,0)</f>
        <v>50</v>
      </c>
      <c r="M12" s="4">
        <f t="shared" ref="M12:M43" si="2">1+D$5/100</f>
        <v>1.65</v>
      </c>
      <c r="N12" s="4">
        <f t="shared" ref="N12:N43" si="3">1+D$6/100</f>
        <v>1.9</v>
      </c>
      <c r="O12" s="6">
        <f>IF(G12&lt;&gt;0,+L12*M12*N12,0)</f>
        <v>156.75</v>
      </c>
      <c r="Q12" s="6">
        <f>+G12/D$5</f>
        <v>2.8923076923076922</v>
      </c>
    </row>
    <row r="13" spans="1:17" x14ac:dyDescent="0.25">
      <c r="A13" t="s">
        <v>191</v>
      </c>
      <c r="B13" s="12" t="str">
        <f>VLOOKUP(A13,concorrenti!A:E,5,1)</f>
        <v>X</v>
      </c>
      <c r="C13" t="s">
        <v>122</v>
      </c>
      <c r="D13" t="s">
        <v>250</v>
      </c>
      <c r="E13">
        <v>1969</v>
      </c>
      <c r="F13" s="5"/>
      <c r="G13">
        <v>253</v>
      </c>
      <c r="H13" s="4">
        <f t="shared" si="0"/>
        <v>1.5899999999999999</v>
      </c>
      <c r="I13" s="14">
        <f t="shared" si="1"/>
        <v>402.27</v>
      </c>
      <c r="J13" s="5"/>
      <c r="K13">
        <v>2</v>
      </c>
      <c r="L13">
        <f>VLOOKUP(K13,Regolamento!A:B,2,0)</f>
        <v>45</v>
      </c>
      <c r="M13" s="4">
        <f t="shared" si="2"/>
        <v>1.65</v>
      </c>
      <c r="N13" s="4">
        <f t="shared" si="3"/>
        <v>1.9</v>
      </c>
      <c r="O13" s="6">
        <f t="shared" ref="O13:O44" si="4">IF(G13&lt;&gt;0,+L13*M13*N13,0)</f>
        <v>141.07499999999999</v>
      </c>
      <c r="Q13" s="6">
        <f t="shared" ref="Q13:Q66" si="5">+G13/D$5</f>
        <v>3.8923076923076922</v>
      </c>
    </row>
    <row r="14" spans="1:17" x14ac:dyDescent="0.25">
      <c r="A14" t="s">
        <v>218</v>
      </c>
      <c r="B14" s="12" t="str">
        <f>VLOOKUP(A14,concorrenti!A:E,5,1)</f>
        <v>X</v>
      </c>
      <c r="C14" t="s">
        <v>233</v>
      </c>
      <c r="D14" t="s">
        <v>283</v>
      </c>
      <c r="E14">
        <v>1972</v>
      </c>
      <c r="G14">
        <v>261</v>
      </c>
      <c r="H14" s="4">
        <f t="shared" si="0"/>
        <v>1.6199999999999999</v>
      </c>
      <c r="I14" s="14">
        <f t="shared" si="1"/>
        <v>422.82</v>
      </c>
      <c r="J14" s="5"/>
      <c r="K14">
        <v>3</v>
      </c>
      <c r="L14">
        <f>VLOOKUP(K14,Regolamento!A:B,2,0)</f>
        <v>41</v>
      </c>
      <c r="M14" s="4">
        <f t="shared" si="2"/>
        <v>1.65</v>
      </c>
      <c r="N14" s="4">
        <f t="shared" si="3"/>
        <v>1.9</v>
      </c>
      <c r="O14" s="6">
        <f t="shared" si="4"/>
        <v>128.53499999999997</v>
      </c>
      <c r="Q14" s="6">
        <f t="shared" si="5"/>
        <v>4.0153846153846153</v>
      </c>
    </row>
    <row r="15" spans="1:17" x14ac:dyDescent="0.25">
      <c r="A15" t="s">
        <v>21</v>
      </c>
      <c r="B15" s="12">
        <f>VLOOKUP(A15,concorrenti!A:E,5,1)</f>
        <v>0</v>
      </c>
      <c r="C15" t="s">
        <v>122</v>
      </c>
      <c r="D15" t="s">
        <v>276</v>
      </c>
      <c r="E15">
        <v>1972</v>
      </c>
      <c r="F15" s="5"/>
      <c r="G15">
        <f>314-21</f>
        <v>293</v>
      </c>
      <c r="H15" s="4">
        <f t="shared" si="0"/>
        <v>1.72</v>
      </c>
      <c r="I15" s="14">
        <f t="shared" si="1"/>
        <v>503.96</v>
      </c>
      <c r="J15" s="5"/>
      <c r="K15">
        <v>4</v>
      </c>
      <c r="L15">
        <f>VLOOKUP(K15,Regolamento!A:B,2,0)</f>
        <v>38</v>
      </c>
      <c r="M15" s="4">
        <f t="shared" si="2"/>
        <v>1.65</v>
      </c>
      <c r="N15" s="4">
        <f t="shared" si="3"/>
        <v>1.9</v>
      </c>
      <c r="O15" s="6">
        <f t="shared" si="4"/>
        <v>119.12999999999998</v>
      </c>
      <c r="Q15" s="6">
        <f t="shared" si="5"/>
        <v>4.5076923076923077</v>
      </c>
    </row>
    <row r="16" spans="1:17" x14ac:dyDescent="0.25">
      <c r="A16" t="s">
        <v>12</v>
      </c>
      <c r="B16" s="12">
        <f>VLOOKUP(A16,concorrenti!A:E,5,1)</f>
        <v>0</v>
      </c>
      <c r="C16" t="s">
        <v>237</v>
      </c>
      <c r="D16" t="s">
        <v>161</v>
      </c>
      <c r="E16">
        <v>1960</v>
      </c>
      <c r="G16">
        <f>343-11</f>
        <v>332</v>
      </c>
      <c r="H16" s="4">
        <f t="shared" si="0"/>
        <v>1.6</v>
      </c>
      <c r="I16" s="14">
        <f t="shared" si="1"/>
        <v>531.20000000000005</v>
      </c>
      <c r="J16" s="9"/>
      <c r="K16">
        <v>5</v>
      </c>
      <c r="L16">
        <f>VLOOKUP(K16,Regolamento!A:B,2,0)</f>
        <v>36</v>
      </c>
      <c r="M16" s="4">
        <f t="shared" si="2"/>
        <v>1.65</v>
      </c>
      <c r="N16" s="4">
        <f t="shared" si="3"/>
        <v>1.9</v>
      </c>
      <c r="O16" s="6">
        <f t="shared" si="4"/>
        <v>112.85999999999999</v>
      </c>
      <c r="Q16" s="6">
        <f t="shared" si="5"/>
        <v>5.1076923076923073</v>
      </c>
    </row>
    <row r="17" spans="1:17" x14ac:dyDescent="0.25">
      <c r="A17" t="s">
        <v>70</v>
      </c>
      <c r="B17" s="12">
        <f>VLOOKUP(A17,concorrenti!A:E,5,1)</f>
        <v>0</v>
      </c>
      <c r="C17" t="s">
        <v>243</v>
      </c>
      <c r="D17" t="s">
        <v>277</v>
      </c>
      <c r="E17">
        <v>1974</v>
      </c>
      <c r="F17" s="5"/>
      <c r="G17">
        <f>325-8</f>
        <v>317</v>
      </c>
      <c r="H17" s="4">
        <f t="shared" si="0"/>
        <v>1.74</v>
      </c>
      <c r="I17" s="14">
        <f t="shared" si="1"/>
        <v>551.58000000000004</v>
      </c>
      <c r="J17" s="5"/>
      <c r="K17">
        <v>6</v>
      </c>
      <c r="L17">
        <f>VLOOKUP(K17,Regolamento!A:B,2,0)</f>
        <v>35</v>
      </c>
      <c r="M17" s="4">
        <f t="shared" si="2"/>
        <v>1.65</v>
      </c>
      <c r="N17" s="4">
        <f t="shared" si="3"/>
        <v>1.9</v>
      </c>
      <c r="O17" s="6">
        <f t="shared" si="4"/>
        <v>109.72499999999999</v>
      </c>
      <c r="Q17" s="6">
        <f t="shared" si="5"/>
        <v>4.8769230769230774</v>
      </c>
    </row>
    <row r="18" spans="1:17" x14ac:dyDescent="0.25">
      <c r="A18" t="s">
        <v>210</v>
      </c>
      <c r="B18" s="12">
        <f>VLOOKUP(A18,concorrenti!A:E,5,1)</f>
        <v>0</v>
      </c>
      <c r="C18" t="s">
        <v>122</v>
      </c>
      <c r="D18" t="s">
        <v>274</v>
      </c>
      <c r="E18">
        <v>1953</v>
      </c>
      <c r="F18" s="5"/>
      <c r="G18">
        <f>382-5</f>
        <v>377</v>
      </c>
      <c r="H18" s="4">
        <f t="shared" si="0"/>
        <v>1.53</v>
      </c>
      <c r="I18" s="14">
        <f t="shared" si="1"/>
        <v>576.81000000000006</v>
      </c>
      <c r="J18" s="5"/>
      <c r="K18">
        <v>7</v>
      </c>
      <c r="L18">
        <f>VLOOKUP(K18,Regolamento!A:B,2,0)</f>
        <v>34</v>
      </c>
      <c r="M18" s="4">
        <f t="shared" si="2"/>
        <v>1.65</v>
      </c>
      <c r="N18" s="4">
        <f t="shared" si="3"/>
        <v>1.9</v>
      </c>
      <c r="O18" s="6">
        <f t="shared" si="4"/>
        <v>106.58999999999999</v>
      </c>
      <c r="Q18" s="6">
        <f t="shared" si="5"/>
        <v>5.8</v>
      </c>
    </row>
    <row r="19" spans="1:17" x14ac:dyDescent="0.25">
      <c r="A19" t="s">
        <v>209</v>
      </c>
      <c r="B19" s="12">
        <f>VLOOKUP(A19,concorrenti!A:E,5,1)</f>
        <v>0</v>
      </c>
      <c r="C19" t="s">
        <v>152</v>
      </c>
      <c r="D19" s="74" t="s">
        <v>273</v>
      </c>
      <c r="E19" s="78">
        <v>1938</v>
      </c>
      <c r="F19" s="5"/>
      <c r="G19">
        <f>455-17</f>
        <v>438</v>
      </c>
      <c r="H19" s="4">
        <f t="shared" si="0"/>
        <v>1.38</v>
      </c>
      <c r="I19" s="14">
        <f t="shared" si="1"/>
        <v>604.43999999999994</v>
      </c>
      <c r="J19" s="5"/>
      <c r="K19">
        <v>8</v>
      </c>
      <c r="L19">
        <f>VLOOKUP(K19,Regolamento!A:B,2,0)</f>
        <v>33</v>
      </c>
      <c r="M19" s="4">
        <f t="shared" si="2"/>
        <v>1.65</v>
      </c>
      <c r="N19" s="4">
        <f t="shared" si="3"/>
        <v>1.9</v>
      </c>
      <c r="O19" s="6">
        <f t="shared" si="4"/>
        <v>103.45499999999998</v>
      </c>
      <c r="Q19" s="6">
        <f t="shared" si="5"/>
        <v>6.7384615384615385</v>
      </c>
    </row>
    <row r="20" spans="1:17" x14ac:dyDescent="0.25">
      <c r="A20" t="s">
        <v>76</v>
      </c>
      <c r="B20" s="12">
        <f>VLOOKUP(A20,concorrenti!A:E,5,1)</f>
        <v>0</v>
      </c>
      <c r="C20" t="s">
        <v>122</v>
      </c>
      <c r="D20" t="s">
        <v>251</v>
      </c>
      <c r="E20" s="78">
        <v>1970</v>
      </c>
      <c r="F20" s="9"/>
      <c r="G20">
        <f>391-14</f>
        <v>377</v>
      </c>
      <c r="H20" s="4">
        <f t="shared" si="0"/>
        <v>1.7</v>
      </c>
      <c r="I20" s="14">
        <f t="shared" si="1"/>
        <v>640.9</v>
      </c>
      <c r="J20" s="5"/>
      <c r="K20">
        <v>9</v>
      </c>
      <c r="L20">
        <f>VLOOKUP(K20,Regolamento!A:B,2,0)</f>
        <v>32</v>
      </c>
      <c r="M20" s="4">
        <f t="shared" si="2"/>
        <v>1.65</v>
      </c>
      <c r="N20" s="4">
        <f t="shared" si="3"/>
        <v>1.9</v>
      </c>
      <c r="O20" s="6">
        <f t="shared" si="4"/>
        <v>100.32</v>
      </c>
      <c r="Q20" s="6">
        <f t="shared" si="5"/>
        <v>5.8</v>
      </c>
    </row>
    <row r="21" spans="1:17" x14ac:dyDescent="0.25">
      <c r="A21" t="s">
        <v>225</v>
      </c>
      <c r="B21" s="12">
        <f>VLOOKUP(A21,concorrenti!A:E,5,1)</f>
        <v>0</v>
      </c>
      <c r="C21" t="s">
        <v>245</v>
      </c>
      <c r="D21" t="s">
        <v>291</v>
      </c>
      <c r="E21">
        <v>1963</v>
      </c>
      <c r="G21">
        <f>411-17</f>
        <v>394</v>
      </c>
      <c r="H21" s="4">
        <f t="shared" si="0"/>
        <v>1.63</v>
      </c>
      <c r="I21" s="14">
        <f t="shared" si="1"/>
        <v>642.21999999999991</v>
      </c>
      <c r="J21" s="5"/>
      <c r="K21">
        <v>10</v>
      </c>
      <c r="L21">
        <f>VLOOKUP(K21,Regolamento!A:B,2,0)</f>
        <v>31</v>
      </c>
      <c r="M21" s="4">
        <f t="shared" si="2"/>
        <v>1.65</v>
      </c>
      <c r="N21" s="4">
        <f t="shared" si="3"/>
        <v>1.9</v>
      </c>
      <c r="O21" s="6">
        <f t="shared" si="4"/>
        <v>97.184999999999988</v>
      </c>
      <c r="Q21" s="6">
        <f t="shared" si="5"/>
        <v>6.0615384615384613</v>
      </c>
    </row>
    <row r="22" spans="1:17" x14ac:dyDescent="0.25">
      <c r="A22" t="s">
        <v>69</v>
      </c>
      <c r="B22" s="12">
        <f>VLOOKUP(A22,concorrenti!A:E,5,1)</f>
        <v>0</v>
      </c>
      <c r="C22" t="s">
        <v>122</v>
      </c>
      <c r="D22" t="s">
        <v>254</v>
      </c>
      <c r="E22">
        <v>1974</v>
      </c>
      <c r="F22" s="5"/>
      <c r="G22">
        <f>385-11</f>
        <v>374</v>
      </c>
      <c r="H22" s="4">
        <f t="shared" si="0"/>
        <v>1.74</v>
      </c>
      <c r="I22" s="14">
        <f t="shared" si="1"/>
        <v>650.76</v>
      </c>
      <c r="J22" s="5"/>
      <c r="K22">
        <v>11</v>
      </c>
      <c r="L22">
        <f>VLOOKUP(K22,Regolamento!A:B,2,0)</f>
        <v>30</v>
      </c>
      <c r="M22" s="4">
        <f t="shared" si="2"/>
        <v>1.65</v>
      </c>
      <c r="N22" s="4">
        <f t="shared" si="3"/>
        <v>1.9</v>
      </c>
      <c r="O22" s="6">
        <f t="shared" si="4"/>
        <v>94.05</v>
      </c>
      <c r="Q22" s="6">
        <f t="shared" si="5"/>
        <v>5.7538461538461538</v>
      </c>
    </row>
    <row r="23" spans="1:17" x14ac:dyDescent="0.25">
      <c r="A23" t="s">
        <v>23</v>
      </c>
      <c r="B23" s="12">
        <f>VLOOKUP(A23,concorrenti!A:E,5,1)</f>
        <v>0</v>
      </c>
      <c r="C23" t="s">
        <v>235</v>
      </c>
      <c r="D23" t="s">
        <v>252</v>
      </c>
      <c r="E23">
        <v>1976</v>
      </c>
      <c r="F23" s="5"/>
      <c r="G23">
        <f>389-11</f>
        <v>378</v>
      </c>
      <c r="H23" s="4">
        <f t="shared" si="0"/>
        <v>1.76</v>
      </c>
      <c r="I23" s="14">
        <f t="shared" si="1"/>
        <v>665.28</v>
      </c>
      <c r="J23" s="5"/>
      <c r="K23">
        <v>12</v>
      </c>
      <c r="L23">
        <f>VLOOKUP(K23,Regolamento!A:B,2,0)</f>
        <v>29</v>
      </c>
      <c r="M23" s="4">
        <f t="shared" si="2"/>
        <v>1.65</v>
      </c>
      <c r="N23" s="4">
        <f t="shared" si="3"/>
        <v>1.9</v>
      </c>
      <c r="O23" s="6">
        <f t="shared" si="4"/>
        <v>90.914999999999992</v>
      </c>
      <c r="Q23" s="6">
        <f t="shared" si="5"/>
        <v>5.8153846153846152</v>
      </c>
    </row>
    <row r="24" spans="1:17" x14ac:dyDescent="0.25">
      <c r="A24" t="s">
        <v>17</v>
      </c>
      <c r="B24" s="12">
        <f>VLOOKUP(A24,concorrenti!A:E,5,1)</f>
        <v>0</v>
      </c>
      <c r="C24" t="s">
        <v>237</v>
      </c>
      <c r="D24" t="s">
        <v>134</v>
      </c>
      <c r="E24">
        <f>1962-3</f>
        <v>1959</v>
      </c>
      <c r="G24">
        <v>477</v>
      </c>
      <c r="H24" s="4">
        <f t="shared" si="0"/>
        <v>1.5899999999999999</v>
      </c>
      <c r="I24" s="14">
        <f t="shared" si="1"/>
        <v>758.43</v>
      </c>
      <c r="J24" s="5"/>
      <c r="K24">
        <v>13</v>
      </c>
      <c r="L24">
        <f>VLOOKUP(K24,Regolamento!A:B,2,0)</f>
        <v>28</v>
      </c>
      <c r="M24" s="4">
        <f t="shared" si="2"/>
        <v>1.65</v>
      </c>
      <c r="N24" s="4">
        <f t="shared" si="3"/>
        <v>1.9</v>
      </c>
      <c r="O24" s="6">
        <f t="shared" si="4"/>
        <v>87.779999999999987</v>
      </c>
      <c r="Q24" s="6">
        <f t="shared" si="5"/>
        <v>7.3384615384615381</v>
      </c>
    </row>
    <row r="25" spans="1:17" x14ac:dyDescent="0.25">
      <c r="A25" t="s">
        <v>226</v>
      </c>
      <c r="B25" s="12">
        <f>VLOOKUP(A25,concorrenti!A:E,5,1)</f>
        <v>0</v>
      </c>
      <c r="C25" t="s">
        <v>236</v>
      </c>
      <c r="D25" t="s">
        <v>292</v>
      </c>
      <c r="E25">
        <v>1964</v>
      </c>
      <c r="G25">
        <f>620-26</f>
        <v>594</v>
      </c>
      <c r="H25" s="4">
        <f t="shared" si="0"/>
        <v>1.6400000000000001</v>
      </c>
      <c r="I25" s="14">
        <f t="shared" si="1"/>
        <v>974.16000000000008</v>
      </c>
      <c r="J25" s="5"/>
      <c r="K25">
        <v>14</v>
      </c>
      <c r="L25">
        <f>VLOOKUP(K25,Regolamento!A:B,2,0)</f>
        <v>27</v>
      </c>
      <c r="M25" s="4">
        <f t="shared" si="2"/>
        <v>1.65</v>
      </c>
      <c r="N25" s="4">
        <f t="shared" si="3"/>
        <v>1.9</v>
      </c>
      <c r="O25" s="6">
        <f t="shared" si="4"/>
        <v>84.644999999999996</v>
      </c>
      <c r="Q25" s="6">
        <f t="shared" si="5"/>
        <v>9.138461538461538</v>
      </c>
    </row>
    <row r="26" spans="1:17" x14ac:dyDescent="0.25">
      <c r="A26" t="s">
        <v>74</v>
      </c>
      <c r="B26" s="12">
        <f>VLOOKUP(A26,concorrenti!A:E,5,1)</f>
        <v>0</v>
      </c>
      <c r="C26" t="s">
        <v>231</v>
      </c>
      <c r="D26" t="s">
        <v>247</v>
      </c>
      <c r="E26">
        <v>1963</v>
      </c>
      <c r="G26">
        <f>679-29</f>
        <v>650</v>
      </c>
      <c r="H26" s="4">
        <f t="shared" si="0"/>
        <v>1.63</v>
      </c>
      <c r="I26" s="14">
        <f t="shared" si="1"/>
        <v>1059.5</v>
      </c>
      <c r="J26" s="5"/>
      <c r="K26">
        <v>15</v>
      </c>
      <c r="L26">
        <f>VLOOKUP(K26,Regolamento!A:B,2,0)</f>
        <v>26</v>
      </c>
      <c r="M26" s="4">
        <f t="shared" si="2"/>
        <v>1.65</v>
      </c>
      <c r="N26" s="4">
        <f t="shared" si="3"/>
        <v>1.9</v>
      </c>
      <c r="O26" s="6">
        <f t="shared" si="4"/>
        <v>81.509999999999991</v>
      </c>
      <c r="Q26" s="6">
        <f t="shared" si="5"/>
        <v>10</v>
      </c>
    </row>
    <row r="27" spans="1:17" x14ac:dyDescent="0.25">
      <c r="A27" t="s">
        <v>212</v>
      </c>
      <c r="B27" s="12" t="str">
        <f>VLOOKUP(A27,concorrenti!A:E,5,1)</f>
        <v>X</v>
      </c>
      <c r="C27" t="s">
        <v>241</v>
      </c>
      <c r="D27" t="s">
        <v>275</v>
      </c>
      <c r="E27">
        <v>1937</v>
      </c>
      <c r="F27" s="5"/>
      <c r="G27">
        <f>937-35</f>
        <v>902</v>
      </c>
      <c r="H27" s="4">
        <f t="shared" si="0"/>
        <v>1.27</v>
      </c>
      <c r="I27" s="14">
        <f t="shared" si="1"/>
        <v>1145.54</v>
      </c>
      <c r="J27" s="5"/>
      <c r="K27">
        <v>16</v>
      </c>
      <c r="L27">
        <f>VLOOKUP(K27,Regolamento!A:B,2,0)</f>
        <v>25</v>
      </c>
      <c r="M27" s="4">
        <f t="shared" si="2"/>
        <v>1.65</v>
      </c>
      <c r="N27" s="4">
        <f t="shared" si="3"/>
        <v>1.9</v>
      </c>
      <c r="O27" s="6">
        <f t="shared" si="4"/>
        <v>78.375</v>
      </c>
      <c r="Q27" s="6">
        <f t="shared" si="5"/>
        <v>13.876923076923077</v>
      </c>
    </row>
    <row r="28" spans="1:17" x14ac:dyDescent="0.25">
      <c r="A28" t="s">
        <v>224</v>
      </c>
      <c r="B28" s="12">
        <f>VLOOKUP(A28,concorrenti!A:E,5,1)</f>
        <v>0</v>
      </c>
      <c r="C28" t="s">
        <v>233</v>
      </c>
      <c r="D28" t="s">
        <v>290</v>
      </c>
      <c r="E28">
        <v>1972</v>
      </c>
      <c r="G28">
        <f>784-102</f>
        <v>682</v>
      </c>
      <c r="H28" s="4">
        <f t="shared" si="0"/>
        <v>1.72</v>
      </c>
      <c r="I28" s="14">
        <f t="shared" si="1"/>
        <v>1173.04</v>
      </c>
      <c r="J28" s="5"/>
      <c r="K28">
        <v>17</v>
      </c>
      <c r="L28">
        <f>VLOOKUP(K28,Regolamento!A:B,2,0)</f>
        <v>24</v>
      </c>
      <c r="M28" s="4">
        <f t="shared" si="2"/>
        <v>1.65</v>
      </c>
      <c r="N28" s="4">
        <f t="shared" si="3"/>
        <v>1.9</v>
      </c>
      <c r="O28" s="6">
        <f t="shared" si="4"/>
        <v>75.239999999999981</v>
      </c>
      <c r="Q28" s="6">
        <f t="shared" si="5"/>
        <v>10.492307692307692</v>
      </c>
    </row>
    <row r="29" spans="1:17" x14ac:dyDescent="0.25">
      <c r="A29" t="s">
        <v>215</v>
      </c>
      <c r="B29" s="12">
        <f>VLOOKUP(A29,concorrenti!A:E,5,1)</f>
        <v>0</v>
      </c>
      <c r="C29" t="s">
        <v>122</v>
      </c>
      <c r="D29" t="s">
        <v>280</v>
      </c>
      <c r="E29">
        <v>1975</v>
      </c>
      <c r="G29">
        <f>764-27</f>
        <v>737</v>
      </c>
      <c r="H29" s="4">
        <f t="shared" si="0"/>
        <v>1.75</v>
      </c>
      <c r="I29" s="14">
        <f t="shared" si="1"/>
        <v>1289.75</v>
      </c>
      <c r="J29" s="5"/>
      <c r="K29">
        <v>18</v>
      </c>
      <c r="L29">
        <f>VLOOKUP(K29,Regolamento!A:B,2,0)</f>
        <v>23</v>
      </c>
      <c r="M29" s="4">
        <f t="shared" si="2"/>
        <v>1.65</v>
      </c>
      <c r="N29" s="4">
        <f t="shared" si="3"/>
        <v>1.9</v>
      </c>
      <c r="O29" s="6">
        <f t="shared" si="4"/>
        <v>72.10499999999999</v>
      </c>
      <c r="Q29" s="6">
        <f t="shared" si="5"/>
        <v>11.338461538461539</v>
      </c>
    </row>
    <row r="30" spans="1:17" x14ac:dyDescent="0.25">
      <c r="A30" t="s">
        <v>190</v>
      </c>
      <c r="B30" s="12">
        <f>VLOOKUP(A30,concorrenti!A:E,5,1)</f>
        <v>0</v>
      </c>
      <c r="C30" t="s">
        <v>234</v>
      </c>
      <c r="D30" t="s">
        <v>249</v>
      </c>
      <c r="E30">
        <v>1929</v>
      </c>
      <c r="F30" s="5"/>
      <c r="G30">
        <f>1263-31</f>
        <v>1232</v>
      </c>
      <c r="H30" s="4">
        <f t="shared" si="0"/>
        <v>1.29</v>
      </c>
      <c r="I30" s="14">
        <f t="shared" si="1"/>
        <v>1589.28</v>
      </c>
      <c r="J30" s="5"/>
      <c r="K30">
        <v>19</v>
      </c>
      <c r="L30">
        <f>VLOOKUP(K30,Regolamento!A:B,2,0)</f>
        <v>22</v>
      </c>
      <c r="M30" s="4">
        <f t="shared" si="2"/>
        <v>1.65</v>
      </c>
      <c r="N30" s="4">
        <f t="shared" si="3"/>
        <v>1.9</v>
      </c>
      <c r="O30" s="6">
        <f t="shared" si="4"/>
        <v>68.969999999999985</v>
      </c>
      <c r="Q30" s="6">
        <f t="shared" si="5"/>
        <v>18.953846153846154</v>
      </c>
    </row>
    <row r="31" spans="1:17" x14ac:dyDescent="0.25">
      <c r="A31" t="s">
        <v>219</v>
      </c>
      <c r="B31" s="12">
        <f>VLOOKUP(A31,concorrenti!A:E,5,1)</f>
        <v>0</v>
      </c>
      <c r="C31" t="s">
        <v>122</v>
      </c>
      <c r="D31" t="s">
        <v>284</v>
      </c>
      <c r="E31">
        <v>1973</v>
      </c>
      <c r="G31">
        <f>964-36</f>
        <v>928</v>
      </c>
      <c r="H31" s="4">
        <f t="shared" si="0"/>
        <v>1.73</v>
      </c>
      <c r="I31" s="14">
        <f t="shared" si="1"/>
        <v>1605.44</v>
      </c>
      <c r="J31" s="5"/>
      <c r="K31">
        <v>20</v>
      </c>
      <c r="L31">
        <f>VLOOKUP(K31,Regolamento!A:B,2,0)</f>
        <v>21</v>
      </c>
      <c r="M31" s="4">
        <f t="shared" si="2"/>
        <v>1.65</v>
      </c>
      <c r="N31" s="4">
        <f t="shared" si="3"/>
        <v>1.9</v>
      </c>
      <c r="O31" s="6">
        <f t="shared" si="4"/>
        <v>65.834999999999994</v>
      </c>
      <c r="Q31" s="6">
        <f t="shared" si="5"/>
        <v>14.276923076923078</v>
      </c>
    </row>
    <row r="32" spans="1:17" x14ac:dyDescent="0.25">
      <c r="A32" t="s">
        <v>75</v>
      </c>
      <c r="B32" s="12">
        <f>VLOOKUP(A32,concorrenti!A:E,5,1)</f>
        <v>0</v>
      </c>
      <c r="C32" t="s">
        <v>235</v>
      </c>
      <c r="D32" t="s">
        <v>288</v>
      </c>
      <c r="E32">
        <v>1972</v>
      </c>
      <c r="G32">
        <f>942-5</f>
        <v>937</v>
      </c>
      <c r="H32" s="4">
        <f t="shared" si="0"/>
        <v>1.72</v>
      </c>
      <c r="I32" s="14">
        <f t="shared" si="1"/>
        <v>1611.6399999999999</v>
      </c>
      <c r="J32" s="5"/>
      <c r="K32">
        <v>21</v>
      </c>
      <c r="L32">
        <f>VLOOKUP(K32,Regolamento!A:B,2,0)</f>
        <v>20</v>
      </c>
      <c r="M32" s="4">
        <f t="shared" si="2"/>
        <v>1.65</v>
      </c>
      <c r="N32" s="4">
        <f t="shared" si="3"/>
        <v>1.9</v>
      </c>
      <c r="O32" s="6">
        <f t="shared" si="4"/>
        <v>62.699999999999996</v>
      </c>
      <c r="Q32" s="6">
        <f t="shared" si="5"/>
        <v>14.415384615384616</v>
      </c>
    </row>
    <row r="33" spans="1:17" x14ac:dyDescent="0.25">
      <c r="A33" s="8" t="s">
        <v>85</v>
      </c>
      <c r="B33" s="12">
        <f>VLOOKUP(A33,concorrenti!A:E,5,1)</f>
        <v>0</v>
      </c>
      <c r="C33" t="s">
        <v>241</v>
      </c>
      <c r="D33" t="s">
        <v>296</v>
      </c>
      <c r="E33" s="78">
        <v>1998</v>
      </c>
      <c r="G33">
        <f>1111-13-27-22</f>
        <v>1049</v>
      </c>
      <c r="H33" s="4">
        <f t="shared" si="0"/>
        <v>1.98</v>
      </c>
      <c r="I33" s="14">
        <f t="shared" si="1"/>
        <v>2077.02</v>
      </c>
      <c r="J33" s="5"/>
      <c r="K33">
        <v>22</v>
      </c>
      <c r="L33">
        <f>VLOOKUP(K33,Regolamento!A:B,2,0)</f>
        <v>19</v>
      </c>
      <c r="M33" s="4">
        <f t="shared" si="2"/>
        <v>1.65</v>
      </c>
      <c r="N33" s="4">
        <f t="shared" si="3"/>
        <v>1.9</v>
      </c>
      <c r="O33" s="6">
        <f t="shared" si="4"/>
        <v>59.564999999999991</v>
      </c>
      <c r="Q33" s="6">
        <f t="shared" si="5"/>
        <v>16.138461538461538</v>
      </c>
    </row>
    <row r="34" spans="1:17" x14ac:dyDescent="0.25">
      <c r="A34" t="s">
        <v>221</v>
      </c>
      <c r="B34" s="12">
        <f>VLOOKUP(A34,concorrenti!A:E,5,1)</f>
        <v>0</v>
      </c>
      <c r="C34" t="s">
        <v>231</v>
      </c>
      <c r="D34" t="s">
        <v>286</v>
      </c>
      <c r="E34">
        <v>1974</v>
      </c>
      <c r="G34">
        <f>1234-20</f>
        <v>1214</v>
      </c>
      <c r="H34" s="4">
        <f t="shared" si="0"/>
        <v>1.74</v>
      </c>
      <c r="I34" s="14">
        <f t="shared" si="1"/>
        <v>2112.36</v>
      </c>
      <c r="J34" s="5"/>
      <c r="K34">
        <v>23</v>
      </c>
      <c r="L34">
        <f>VLOOKUP(K34,Regolamento!A:B,2,0)</f>
        <v>18</v>
      </c>
      <c r="M34" s="4">
        <f t="shared" si="2"/>
        <v>1.65</v>
      </c>
      <c r="N34" s="4">
        <f t="shared" si="3"/>
        <v>1.9</v>
      </c>
      <c r="O34" s="6">
        <f t="shared" si="4"/>
        <v>56.429999999999993</v>
      </c>
      <c r="Q34" s="6">
        <f t="shared" si="5"/>
        <v>18.676923076923078</v>
      </c>
    </row>
    <row r="35" spans="1:17" x14ac:dyDescent="0.25">
      <c r="A35" t="s">
        <v>88</v>
      </c>
      <c r="B35" s="12">
        <f>VLOOKUP(A35,concorrenti!A:E,5,1)</f>
        <v>0</v>
      </c>
      <c r="C35" t="s">
        <v>236</v>
      </c>
      <c r="D35" s="74" t="s">
        <v>258</v>
      </c>
      <c r="E35">
        <v>1958</v>
      </c>
      <c r="F35" s="5"/>
      <c r="G35">
        <f>1643-53</f>
        <v>1590</v>
      </c>
      <c r="H35" s="4">
        <f t="shared" si="0"/>
        <v>1.58</v>
      </c>
      <c r="I35" s="14">
        <f t="shared" si="1"/>
        <v>2512.2000000000003</v>
      </c>
      <c r="J35" s="5"/>
      <c r="K35">
        <v>24</v>
      </c>
      <c r="L35">
        <f>VLOOKUP(K35,Regolamento!A:B,2,0)</f>
        <v>17</v>
      </c>
      <c r="M35" s="4">
        <f t="shared" si="2"/>
        <v>1.65</v>
      </c>
      <c r="N35" s="4">
        <f t="shared" si="3"/>
        <v>1.9</v>
      </c>
      <c r="O35" s="6">
        <f t="shared" si="4"/>
        <v>53.294999999999995</v>
      </c>
      <c r="Q35" s="6">
        <f t="shared" si="5"/>
        <v>24.46153846153846</v>
      </c>
    </row>
    <row r="36" spans="1:17" x14ac:dyDescent="0.25">
      <c r="A36" t="s">
        <v>199</v>
      </c>
      <c r="B36" s="12">
        <f>VLOOKUP(A36,concorrenti!A:E,5,1)</f>
        <v>0</v>
      </c>
      <c r="C36" t="s">
        <v>239</v>
      </c>
      <c r="D36" t="s">
        <v>262</v>
      </c>
      <c r="E36">
        <v>1963</v>
      </c>
      <c r="F36" s="5"/>
      <c r="G36">
        <f>1737-53-42-57</f>
        <v>1585</v>
      </c>
      <c r="H36" s="4">
        <f t="shared" si="0"/>
        <v>1.63</v>
      </c>
      <c r="I36" s="14">
        <f t="shared" si="1"/>
        <v>2583.5499999999997</v>
      </c>
      <c r="J36" s="5"/>
      <c r="K36">
        <v>25</v>
      </c>
      <c r="L36">
        <f>VLOOKUP(K36,Regolamento!A:B,2,0)</f>
        <v>16</v>
      </c>
      <c r="M36" s="4">
        <f t="shared" si="2"/>
        <v>1.65</v>
      </c>
      <c r="N36" s="4">
        <f t="shared" si="3"/>
        <v>1.9</v>
      </c>
      <c r="O36" s="6">
        <f t="shared" si="4"/>
        <v>50.16</v>
      </c>
      <c r="Q36" s="6">
        <f t="shared" si="5"/>
        <v>24.384615384615383</v>
      </c>
    </row>
    <row r="37" spans="1:17" x14ac:dyDescent="0.25">
      <c r="A37" t="s">
        <v>82</v>
      </c>
      <c r="B37" s="12">
        <f>VLOOKUP(A37,concorrenti!A:E,5,1)</f>
        <v>0</v>
      </c>
      <c r="C37" t="s">
        <v>152</v>
      </c>
      <c r="D37" t="s">
        <v>153</v>
      </c>
      <c r="E37">
        <v>1981</v>
      </c>
      <c r="F37" s="5"/>
      <c r="G37">
        <f>1535-66</f>
        <v>1469</v>
      </c>
      <c r="H37" s="4">
        <f t="shared" si="0"/>
        <v>1.81</v>
      </c>
      <c r="I37" s="14">
        <f t="shared" si="1"/>
        <v>2658.89</v>
      </c>
      <c r="J37" s="5"/>
      <c r="K37">
        <v>26</v>
      </c>
      <c r="L37">
        <f>VLOOKUP(K37,Regolamento!A:B,2,0)</f>
        <v>15</v>
      </c>
      <c r="M37" s="4">
        <f t="shared" si="2"/>
        <v>1.65</v>
      </c>
      <c r="N37" s="4">
        <f t="shared" si="3"/>
        <v>1.9</v>
      </c>
      <c r="O37" s="6">
        <f t="shared" si="4"/>
        <v>47.024999999999999</v>
      </c>
      <c r="Q37" s="6">
        <f t="shared" si="5"/>
        <v>22.6</v>
      </c>
    </row>
    <row r="38" spans="1:17" x14ac:dyDescent="0.25">
      <c r="A38" t="s">
        <v>198</v>
      </c>
      <c r="B38" s="12">
        <f>VLOOKUP(A38,concorrenti!A:E,5,1)</f>
        <v>0</v>
      </c>
      <c r="C38" t="s">
        <v>236</v>
      </c>
      <c r="D38" s="74" t="s">
        <v>261</v>
      </c>
      <c r="E38">
        <v>1976</v>
      </c>
      <c r="F38" s="5"/>
      <c r="G38">
        <f>1743-43-60-34</f>
        <v>1606</v>
      </c>
      <c r="H38" s="4">
        <f t="shared" si="0"/>
        <v>1.76</v>
      </c>
      <c r="I38" s="14">
        <f t="shared" si="1"/>
        <v>2826.56</v>
      </c>
      <c r="J38" s="5"/>
      <c r="K38">
        <v>27</v>
      </c>
      <c r="L38">
        <f>VLOOKUP(K38,Regolamento!A:B,2,0)</f>
        <v>14</v>
      </c>
      <c r="M38" s="4">
        <f t="shared" si="2"/>
        <v>1.65</v>
      </c>
      <c r="N38" s="4">
        <f t="shared" si="3"/>
        <v>1.9</v>
      </c>
      <c r="O38" s="6">
        <f t="shared" si="4"/>
        <v>43.889999999999993</v>
      </c>
      <c r="Q38" s="6">
        <f t="shared" si="5"/>
        <v>24.707692307692309</v>
      </c>
    </row>
    <row r="39" spans="1:17" x14ac:dyDescent="0.25">
      <c r="A39" t="s">
        <v>196</v>
      </c>
      <c r="B39" s="12">
        <f>VLOOKUP(A39,concorrenti!A:E,5,1)</f>
        <v>0</v>
      </c>
      <c r="C39" t="s">
        <v>232</v>
      </c>
      <c r="D39" s="74" t="s">
        <v>259</v>
      </c>
      <c r="E39" s="78">
        <v>1954</v>
      </c>
      <c r="F39" s="5"/>
      <c r="G39">
        <f>2616-150-272-281</f>
        <v>1913</v>
      </c>
      <c r="H39" s="4">
        <f t="shared" si="0"/>
        <v>1.54</v>
      </c>
      <c r="I39" s="14">
        <f t="shared" si="1"/>
        <v>2946.02</v>
      </c>
      <c r="J39" s="5"/>
      <c r="K39">
        <v>28</v>
      </c>
      <c r="L39">
        <f>VLOOKUP(K39,Regolamento!A:B,2,0)</f>
        <v>13</v>
      </c>
      <c r="M39" s="4">
        <f t="shared" si="2"/>
        <v>1.65</v>
      </c>
      <c r="N39" s="4">
        <f t="shared" si="3"/>
        <v>1.9</v>
      </c>
      <c r="O39" s="6">
        <f t="shared" si="4"/>
        <v>40.754999999999995</v>
      </c>
      <c r="Q39" s="6">
        <f t="shared" si="5"/>
        <v>29.430769230769229</v>
      </c>
    </row>
    <row r="40" spans="1:17" x14ac:dyDescent="0.25">
      <c r="A40" t="s">
        <v>193</v>
      </c>
      <c r="B40" s="12">
        <f>VLOOKUP(A40,concorrenti!A:E,5,1)</f>
        <v>0</v>
      </c>
      <c r="C40" t="s">
        <v>241</v>
      </c>
      <c r="D40" t="s">
        <v>255</v>
      </c>
      <c r="E40">
        <v>1957</v>
      </c>
      <c r="F40" s="5"/>
      <c r="G40">
        <f>2171-21-21-50</f>
        <v>2079</v>
      </c>
      <c r="H40" s="4">
        <f t="shared" si="0"/>
        <v>1.5699999999999998</v>
      </c>
      <c r="I40" s="14">
        <f t="shared" si="1"/>
        <v>3264.0299999999997</v>
      </c>
      <c r="J40" s="5"/>
      <c r="K40">
        <v>29</v>
      </c>
      <c r="L40">
        <f>VLOOKUP(K40,Regolamento!A:B,2,0)</f>
        <v>12</v>
      </c>
      <c r="M40" s="4">
        <f t="shared" si="2"/>
        <v>1.65</v>
      </c>
      <c r="N40" s="4">
        <f t="shared" si="3"/>
        <v>1.9</v>
      </c>
      <c r="O40" s="6">
        <f t="shared" si="4"/>
        <v>37.61999999999999</v>
      </c>
      <c r="Q40" s="6">
        <f t="shared" si="5"/>
        <v>31.984615384615385</v>
      </c>
    </row>
    <row r="41" spans="1:17" x14ac:dyDescent="0.25">
      <c r="A41" t="s">
        <v>18</v>
      </c>
      <c r="B41" s="12">
        <f>VLOOKUP(A41,concorrenti!A:E,5,1)</f>
        <v>0</v>
      </c>
      <c r="C41" t="s">
        <v>233</v>
      </c>
      <c r="D41" t="s">
        <v>289</v>
      </c>
      <c r="E41" s="78">
        <v>1993</v>
      </c>
      <c r="G41">
        <f>1798-13-46</f>
        <v>1739</v>
      </c>
      <c r="H41" s="4">
        <f t="shared" si="0"/>
        <v>1.9300000000000002</v>
      </c>
      <c r="I41" s="14">
        <f t="shared" si="1"/>
        <v>3356.2700000000004</v>
      </c>
      <c r="J41" s="5"/>
      <c r="K41">
        <v>30</v>
      </c>
      <c r="L41">
        <f>VLOOKUP(K41,Regolamento!A:B,2,0)</f>
        <v>11</v>
      </c>
      <c r="M41" s="4">
        <f t="shared" si="2"/>
        <v>1.65</v>
      </c>
      <c r="N41" s="4">
        <f t="shared" si="3"/>
        <v>1.9</v>
      </c>
      <c r="O41" s="6">
        <f t="shared" si="4"/>
        <v>34.484999999999992</v>
      </c>
      <c r="Q41" s="6">
        <f t="shared" si="5"/>
        <v>26.753846153846155</v>
      </c>
    </row>
    <row r="42" spans="1:17" x14ac:dyDescent="0.25">
      <c r="A42" t="s">
        <v>205</v>
      </c>
      <c r="B42" s="12">
        <f>VLOOKUP(A42,concorrenti!A:E,5,1)</f>
        <v>0</v>
      </c>
      <c r="C42" t="s">
        <v>236</v>
      </c>
      <c r="D42" t="s">
        <v>269</v>
      </c>
      <c r="E42">
        <f>1973-43-51-23</f>
        <v>1856</v>
      </c>
      <c r="F42" s="5"/>
      <c r="G42">
        <v>2288</v>
      </c>
      <c r="H42" s="4">
        <f t="shared" si="0"/>
        <v>1.56</v>
      </c>
      <c r="I42" s="14">
        <f t="shared" si="1"/>
        <v>3569.28</v>
      </c>
      <c r="J42" s="5"/>
      <c r="K42">
        <v>31</v>
      </c>
      <c r="L42">
        <f>VLOOKUP(K42,Regolamento!A:B,2,0)</f>
        <v>10</v>
      </c>
      <c r="M42" s="4">
        <f t="shared" si="2"/>
        <v>1.65</v>
      </c>
      <c r="N42" s="4">
        <f t="shared" si="3"/>
        <v>1.9</v>
      </c>
      <c r="O42" s="6">
        <f t="shared" si="4"/>
        <v>31.349999999999998</v>
      </c>
      <c r="Q42" s="6">
        <f t="shared" si="5"/>
        <v>35.200000000000003</v>
      </c>
    </row>
    <row r="43" spans="1:17" x14ac:dyDescent="0.25">
      <c r="A43" t="s">
        <v>208</v>
      </c>
      <c r="B43" s="12">
        <f>VLOOKUP(A43,concorrenti!A:E,5,1)</f>
        <v>0</v>
      </c>
      <c r="C43" t="s">
        <v>233</v>
      </c>
      <c r="D43" t="s">
        <v>272</v>
      </c>
      <c r="E43">
        <v>1991</v>
      </c>
      <c r="F43" s="5"/>
      <c r="G43">
        <f>1977-74</f>
        <v>1903</v>
      </c>
      <c r="H43" s="4">
        <f t="shared" si="0"/>
        <v>1.9100000000000001</v>
      </c>
      <c r="I43" s="14">
        <f t="shared" si="1"/>
        <v>3634.7300000000005</v>
      </c>
      <c r="J43" s="5"/>
      <c r="K43">
        <v>32</v>
      </c>
      <c r="L43">
        <f>VLOOKUP(K43,Regolamento!A:B,2,0)</f>
        <v>9</v>
      </c>
      <c r="M43" s="4">
        <f t="shared" si="2"/>
        <v>1.65</v>
      </c>
      <c r="N43" s="4">
        <f t="shared" si="3"/>
        <v>1.9</v>
      </c>
      <c r="O43" s="6">
        <f t="shared" si="4"/>
        <v>28.214999999999996</v>
      </c>
      <c r="Q43" s="6">
        <f t="shared" si="5"/>
        <v>29.276923076923076</v>
      </c>
    </row>
    <row r="44" spans="1:17" x14ac:dyDescent="0.25">
      <c r="A44" t="s">
        <v>220</v>
      </c>
      <c r="B44" s="12">
        <f>VLOOKUP(A44,concorrenti!A:E,5,1)</f>
        <v>0</v>
      </c>
      <c r="C44" t="s">
        <v>231</v>
      </c>
      <c r="D44" t="s">
        <v>285</v>
      </c>
      <c r="E44">
        <v>1980</v>
      </c>
      <c r="G44">
        <f>2478-300-61-24</f>
        <v>2093</v>
      </c>
      <c r="H44" s="4">
        <f t="shared" ref="H44:H66" si="6">IF(B44&lt;&gt;0,((1+RIGHT(E44,2)/100)-0.1),(1+RIGHT(E44,2)/100))</f>
        <v>1.8</v>
      </c>
      <c r="I44" s="14">
        <f t="shared" ref="I44:I66" si="7">+G44*H44</f>
        <v>3767.4</v>
      </c>
      <c r="J44" s="5"/>
      <c r="K44">
        <v>33</v>
      </c>
      <c r="L44">
        <f>VLOOKUP(K44,Regolamento!A:B,2,0)</f>
        <v>8</v>
      </c>
      <c r="M44" s="4">
        <f t="shared" ref="M44:M66" si="8">1+D$5/100</f>
        <v>1.65</v>
      </c>
      <c r="N44" s="4">
        <f t="shared" ref="N44:N66" si="9">1+D$6/100</f>
        <v>1.9</v>
      </c>
      <c r="O44" s="6">
        <f t="shared" si="4"/>
        <v>25.08</v>
      </c>
      <c r="Q44" s="6">
        <f t="shared" si="5"/>
        <v>32.200000000000003</v>
      </c>
    </row>
    <row r="45" spans="1:17" x14ac:dyDescent="0.25">
      <c r="A45" t="s">
        <v>192</v>
      </c>
      <c r="B45" s="12">
        <f>VLOOKUP(A45,concorrenti!A:E,5,1)</f>
        <v>0</v>
      </c>
      <c r="C45" t="s">
        <v>233</v>
      </c>
      <c r="D45" t="s">
        <v>253</v>
      </c>
      <c r="E45">
        <v>1969</v>
      </c>
      <c r="F45" s="5"/>
      <c r="G45">
        <f>2659-21-202-70</f>
        <v>2366</v>
      </c>
      <c r="H45" s="4">
        <f t="shared" si="6"/>
        <v>1.69</v>
      </c>
      <c r="I45" s="14">
        <f t="shared" si="7"/>
        <v>3998.54</v>
      </c>
      <c r="J45" s="5"/>
      <c r="K45">
        <v>34</v>
      </c>
      <c r="L45">
        <f>VLOOKUP(K45,Regolamento!A:B,2,0)</f>
        <v>7</v>
      </c>
      <c r="M45" s="4">
        <f t="shared" si="8"/>
        <v>1.65</v>
      </c>
      <c r="N45" s="4">
        <f t="shared" si="9"/>
        <v>1.9</v>
      </c>
      <c r="O45" s="6">
        <f t="shared" ref="O45:O66" si="10">IF(G45&lt;&gt;0,+L45*M45*N45,0)</f>
        <v>21.944999999999997</v>
      </c>
      <c r="Q45" s="6">
        <f t="shared" si="5"/>
        <v>36.4</v>
      </c>
    </row>
    <row r="46" spans="1:17" x14ac:dyDescent="0.25">
      <c r="A46" t="s">
        <v>203</v>
      </c>
      <c r="B46" s="12">
        <f>VLOOKUP(A46,concorrenti!A:E,5,1)</f>
        <v>0</v>
      </c>
      <c r="C46" t="s">
        <v>231</v>
      </c>
      <c r="D46" t="s">
        <v>230</v>
      </c>
      <c r="E46">
        <v>1960</v>
      </c>
      <c r="F46" s="5"/>
      <c r="G46">
        <f>2835-56-32-30</f>
        <v>2717</v>
      </c>
      <c r="H46" s="4">
        <f t="shared" si="6"/>
        <v>1.6</v>
      </c>
      <c r="I46" s="14">
        <f t="shared" si="7"/>
        <v>4347.2</v>
      </c>
      <c r="J46" s="5"/>
      <c r="K46">
        <v>35</v>
      </c>
      <c r="L46">
        <f>VLOOKUP(K46,Regolamento!A:B,2,0)</f>
        <v>6</v>
      </c>
      <c r="M46" s="4">
        <f t="shared" si="8"/>
        <v>1.65</v>
      </c>
      <c r="N46" s="4">
        <f t="shared" si="9"/>
        <v>1.9</v>
      </c>
      <c r="O46" s="6">
        <f t="shared" si="10"/>
        <v>18.809999999999995</v>
      </c>
      <c r="Q46" s="6">
        <f t="shared" si="5"/>
        <v>41.8</v>
      </c>
    </row>
    <row r="47" spans="1:17" x14ac:dyDescent="0.25">
      <c r="A47" t="s">
        <v>228</v>
      </c>
      <c r="B47" s="12">
        <f>VLOOKUP(A47,concorrenti!A:E,5,1)</f>
        <v>0</v>
      </c>
      <c r="C47" t="s">
        <v>152</v>
      </c>
      <c r="D47" t="s">
        <v>294</v>
      </c>
      <c r="E47" s="78">
        <v>1997</v>
      </c>
      <c r="G47">
        <f>2423-19-47-37</f>
        <v>2320</v>
      </c>
      <c r="H47" s="4">
        <f t="shared" si="6"/>
        <v>1.97</v>
      </c>
      <c r="I47" s="14">
        <f t="shared" si="7"/>
        <v>4570.3999999999996</v>
      </c>
      <c r="J47" s="5"/>
      <c r="K47">
        <v>36</v>
      </c>
      <c r="L47">
        <f>VLOOKUP(K47,Regolamento!A:B,2,0)</f>
        <v>5</v>
      </c>
      <c r="M47" s="4">
        <f t="shared" si="8"/>
        <v>1.65</v>
      </c>
      <c r="N47" s="4">
        <f t="shared" si="9"/>
        <v>1.9</v>
      </c>
      <c r="O47" s="6">
        <f t="shared" si="10"/>
        <v>15.674999999999999</v>
      </c>
      <c r="Q47" s="6">
        <f t="shared" si="5"/>
        <v>35.692307692307693</v>
      </c>
    </row>
    <row r="48" spans="1:17" x14ac:dyDescent="0.25">
      <c r="A48" t="s">
        <v>229</v>
      </c>
      <c r="B48" s="12">
        <f>VLOOKUP(A48,concorrenti!A:E,5,1)</f>
        <v>0</v>
      </c>
      <c r="C48" t="s">
        <v>246</v>
      </c>
      <c r="D48" t="s">
        <v>295</v>
      </c>
      <c r="E48">
        <v>1991</v>
      </c>
      <c r="G48">
        <f>2836-50-19-59</f>
        <v>2708</v>
      </c>
      <c r="H48" s="4">
        <f t="shared" si="6"/>
        <v>1.9100000000000001</v>
      </c>
      <c r="I48" s="14">
        <f t="shared" si="7"/>
        <v>5172.2800000000007</v>
      </c>
      <c r="J48" s="5"/>
      <c r="K48">
        <v>37</v>
      </c>
      <c r="L48">
        <f>VLOOKUP(K48,Regolamento!A:B,2,0)</f>
        <v>4</v>
      </c>
      <c r="M48" s="4">
        <f t="shared" si="8"/>
        <v>1.65</v>
      </c>
      <c r="N48" s="4">
        <f t="shared" si="9"/>
        <v>1.9</v>
      </c>
      <c r="O48" s="6">
        <f t="shared" si="10"/>
        <v>12.54</v>
      </c>
      <c r="Q48" s="6">
        <f t="shared" si="5"/>
        <v>41.661538461538463</v>
      </c>
    </row>
    <row r="49" spans="1:17" x14ac:dyDescent="0.25">
      <c r="A49" t="s">
        <v>189</v>
      </c>
      <c r="B49" s="12">
        <f>VLOOKUP(A49,concorrenti!A:E,5,1)</f>
        <v>0</v>
      </c>
      <c r="C49" t="s">
        <v>233</v>
      </c>
      <c r="D49" t="s">
        <v>248</v>
      </c>
      <c r="E49">
        <v>1927</v>
      </c>
      <c r="G49">
        <f>4268-169</f>
        <v>4099</v>
      </c>
      <c r="H49" s="4">
        <f t="shared" si="6"/>
        <v>1.27</v>
      </c>
      <c r="I49" s="14">
        <f t="shared" si="7"/>
        <v>5205.7300000000005</v>
      </c>
      <c r="J49" s="5"/>
      <c r="K49">
        <v>38</v>
      </c>
      <c r="L49">
        <f>VLOOKUP(K49,Regolamento!A:B,2,0)</f>
        <v>3</v>
      </c>
      <c r="M49" s="4">
        <f t="shared" si="8"/>
        <v>1.65</v>
      </c>
      <c r="N49" s="4">
        <f t="shared" si="9"/>
        <v>1.9</v>
      </c>
      <c r="O49" s="6">
        <f t="shared" si="10"/>
        <v>9.4049999999999976</v>
      </c>
      <c r="Q49" s="6">
        <f t="shared" si="5"/>
        <v>63.061538461538461</v>
      </c>
    </row>
    <row r="50" spans="1:17" x14ac:dyDescent="0.25">
      <c r="A50" t="s">
        <v>195</v>
      </c>
      <c r="B50" s="12">
        <f>VLOOKUP(A50,concorrenti!A:E,5,1)</f>
        <v>0</v>
      </c>
      <c r="C50" t="s">
        <v>237</v>
      </c>
      <c r="D50" t="s">
        <v>257</v>
      </c>
      <c r="E50">
        <v>1970</v>
      </c>
      <c r="F50" s="5"/>
      <c r="G50">
        <f>3323-65-26-6</f>
        <v>3226</v>
      </c>
      <c r="H50" s="4">
        <f t="shared" si="6"/>
        <v>1.7</v>
      </c>
      <c r="I50" s="14">
        <f t="shared" si="7"/>
        <v>5484.2</v>
      </c>
      <c r="J50" s="5"/>
      <c r="K50">
        <v>39</v>
      </c>
      <c r="L50">
        <f>VLOOKUP(K50,Regolamento!A:B,2,0)</f>
        <v>2</v>
      </c>
      <c r="M50" s="4">
        <f t="shared" si="8"/>
        <v>1.65</v>
      </c>
      <c r="N50" s="4">
        <f t="shared" si="9"/>
        <v>1.9</v>
      </c>
      <c r="O50" s="6">
        <f t="shared" si="10"/>
        <v>6.27</v>
      </c>
      <c r="Q50" s="6">
        <f t="shared" si="5"/>
        <v>49.630769230769232</v>
      </c>
    </row>
    <row r="51" spans="1:17" x14ac:dyDescent="0.25">
      <c r="A51" t="s">
        <v>227</v>
      </c>
      <c r="B51" s="12" t="str">
        <f>VLOOKUP(A51,concorrenti!A:E,5,1)</f>
        <v>X</v>
      </c>
      <c r="C51" t="s">
        <v>235</v>
      </c>
      <c r="D51" t="s">
        <v>293</v>
      </c>
      <c r="E51">
        <v>1972</v>
      </c>
      <c r="G51">
        <f>3476-8</f>
        <v>3468</v>
      </c>
      <c r="H51" s="4">
        <f t="shared" si="6"/>
        <v>1.6199999999999999</v>
      </c>
      <c r="I51" s="14">
        <f t="shared" si="7"/>
        <v>5618.16</v>
      </c>
      <c r="J51" s="5"/>
      <c r="K51">
        <v>40</v>
      </c>
      <c r="L51">
        <f>VLOOKUP(K51,Regolamento!A:B,2,0)</f>
        <v>1</v>
      </c>
      <c r="M51" s="4">
        <f t="shared" si="8"/>
        <v>1.65</v>
      </c>
      <c r="N51" s="4">
        <f t="shared" si="9"/>
        <v>1.9</v>
      </c>
      <c r="O51" s="6">
        <f t="shared" si="10"/>
        <v>3.1349999999999998</v>
      </c>
      <c r="Q51" s="6">
        <f t="shared" si="5"/>
        <v>53.353846153846156</v>
      </c>
    </row>
    <row r="52" spans="1:17" x14ac:dyDescent="0.25">
      <c r="A52" t="s">
        <v>84</v>
      </c>
      <c r="B52" s="12">
        <f>VLOOKUP(A52,concorrenti!A:E,5,1)</f>
        <v>0</v>
      </c>
      <c r="C52" t="s">
        <v>240</v>
      </c>
      <c r="D52" t="s">
        <v>265</v>
      </c>
      <c r="E52" s="78">
        <v>1994</v>
      </c>
      <c r="F52" s="5"/>
      <c r="G52">
        <f>3530-115-192-237</f>
        <v>2986</v>
      </c>
      <c r="H52" s="4">
        <f t="shared" si="6"/>
        <v>1.94</v>
      </c>
      <c r="I52" s="14">
        <f t="shared" si="7"/>
        <v>5792.84</v>
      </c>
      <c r="J52" s="5"/>
      <c r="K52">
        <v>41</v>
      </c>
      <c r="L52">
        <f>VLOOKUP(K52,Regolamento!A:B,2,0)</f>
        <v>0.5</v>
      </c>
      <c r="M52" s="4">
        <f t="shared" si="8"/>
        <v>1.65</v>
      </c>
      <c r="N52" s="4">
        <f t="shared" si="9"/>
        <v>1.9</v>
      </c>
      <c r="O52" s="6">
        <f t="shared" si="10"/>
        <v>1.5674999999999999</v>
      </c>
      <c r="Q52" s="6">
        <f t="shared" si="5"/>
        <v>45.938461538461539</v>
      </c>
    </row>
    <row r="53" spans="1:17" x14ac:dyDescent="0.25">
      <c r="A53" t="s">
        <v>202</v>
      </c>
      <c r="B53" s="12">
        <f>VLOOKUP(A53,concorrenti!A:E,5,1)</f>
        <v>0</v>
      </c>
      <c r="C53" t="s">
        <v>240</v>
      </c>
      <c r="D53" t="s">
        <v>266</v>
      </c>
      <c r="E53" s="78">
        <v>1992</v>
      </c>
      <c r="F53" s="5"/>
      <c r="G53">
        <f>3408-194-80-41</f>
        <v>3093</v>
      </c>
      <c r="H53" s="4">
        <f t="shared" si="6"/>
        <v>1.92</v>
      </c>
      <c r="I53" s="14">
        <f t="shared" si="7"/>
        <v>5938.5599999999995</v>
      </c>
      <c r="J53" s="5"/>
      <c r="K53">
        <v>42</v>
      </c>
      <c r="L53">
        <f>VLOOKUP(K53,Regolamento!A:B,2,0)</f>
        <v>0.5</v>
      </c>
      <c r="M53" s="4">
        <f t="shared" si="8"/>
        <v>1.65</v>
      </c>
      <c r="N53" s="4">
        <f t="shared" si="9"/>
        <v>1.9</v>
      </c>
      <c r="O53" s="6">
        <f t="shared" si="10"/>
        <v>1.5674999999999999</v>
      </c>
      <c r="Q53" s="6">
        <f t="shared" si="5"/>
        <v>47.584615384615383</v>
      </c>
    </row>
    <row r="54" spans="1:17" x14ac:dyDescent="0.25">
      <c r="A54" t="s">
        <v>222</v>
      </c>
      <c r="B54" s="12">
        <f>VLOOKUP(A54,concorrenti!A:E,5,1)</f>
        <v>0</v>
      </c>
      <c r="C54" t="s">
        <v>233</v>
      </c>
      <c r="D54" t="s">
        <v>287</v>
      </c>
      <c r="E54" s="78">
        <v>1981</v>
      </c>
      <c r="G54">
        <f>3703-27-25-3</f>
        <v>3648</v>
      </c>
      <c r="H54" s="4">
        <f t="shared" si="6"/>
        <v>1.81</v>
      </c>
      <c r="I54" s="14">
        <f t="shared" si="7"/>
        <v>6602.88</v>
      </c>
      <c r="J54" s="5"/>
      <c r="K54">
        <v>43</v>
      </c>
      <c r="L54">
        <f>VLOOKUP(K54,Regolamento!A:B,2,0)</f>
        <v>0.5</v>
      </c>
      <c r="M54" s="4">
        <f t="shared" si="8"/>
        <v>1.65</v>
      </c>
      <c r="N54" s="4">
        <f t="shared" si="9"/>
        <v>1.9</v>
      </c>
      <c r="O54" s="6">
        <f t="shared" si="10"/>
        <v>1.5674999999999999</v>
      </c>
      <c r="Q54" s="6">
        <f t="shared" si="5"/>
        <v>56.123076923076923</v>
      </c>
    </row>
    <row r="55" spans="1:17" x14ac:dyDescent="0.25">
      <c r="A55" t="s">
        <v>216</v>
      </c>
      <c r="B55" s="12">
        <f>VLOOKUP(A55,concorrenti!A:E,5,1)</f>
        <v>0</v>
      </c>
      <c r="C55" t="s">
        <v>244</v>
      </c>
      <c r="D55" t="s">
        <v>281</v>
      </c>
      <c r="E55" s="78">
        <v>1988</v>
      </c>
      <c r="G55">
        <f>3780-66-105-50</f>
        <v>3559</v>
      </c>
      <c r="H55" s="4">
        <f t="shared" si="6"/>
        <v>1.88</v>
      </c>
      <c r="I55" s="14">
        <f t="shared" si="7"/>
        <v>6690.92</v>
      </c>
      <c r="J55" s="5"/>
      <c r="K55">
        <v>44</v>
      </c>
      <c r="L55">
        <f>VLOOKUP(K55,Regolamento!A:B,2,0)</f>
        <v>0.5</v>
      </c>
      <c r="M55" s="4">
        <f t="shared" si="8"/>
        <v>1.65</v>
      </c>
      <c r="N55" s="4">
        <f t="shared" si="9"/>
        <v>1.9</v>
      </c>
      <c r="O55" s="6">
        <f t="shared" si="10"/>
        <v>1.5674999999999999</v>
      </c>
      <c r="Q55" s="6">
        <f t="shared" si="5"/>
        <v>54.753846153846155</v>
      </c>
    </row>
    <row r="56" spans="1:17" x14ac:dyDescent="0.25">
      <c r="A56" t="s">
        <v>194</v>
      </c>
      <c r="B56" s="12" t="str">
        <f>VLOOKUP(A56,concorrenti!A:E,5,1)</f>
        <v>X</v>
      </c>
      <c r="C56" t="s">
        <v>241</v>
      </c>
      <c r="D56" t="s">
        <v>256</v>
      </c>
      <c r="E56">
        <v>1971</v>
      </c>
      <c r="F56" s="5"/>
      <c r="G56">
        <f>4807-41-18</f>
        <v>4748</v>
      </c>
      <c r="H56" s="4">
        <f t="shared" si="6"/>
        <v>1.6099999999999999</v>
      </c>
      <c r="I56" s="14">
        <f t="shared" si="7"/>
        <v>7644.28</v>
      </c>
      <c r="J56" s="5"/>
      <c r="K56">
        <v>45</v>
      </c>
      <c r="L56">
        <f>VLOOKUP(K56,Regolamento!A:B,2,0)</f>
        <v>0.5</v>
      </c>
      <c r="M56" s="4">
        <f t="shared" si="8"/>
        <v>1.65</v>
      </c>
      <c r="N56" s="4">
        <f t="shared" si="9"/>
        <v>1.9</v>
      </c>
      <c r="O56" s="6">
        <f t="shared" si="10"/>
        <v>1.5674999999999999</v>
      </c>
      <c r="Q56" s="6">
        <f t="shared" si="5"/>
        <v>73.046153846153842</v>
      </c>
    </row>
    <row r="57" spans="1:17" x14ac:dyDescent="0.25">
      <c r="A57" t="s">
        <v>197</v>
      </c>
      <c r="B57" s="12">
        <f>VLOOKUP(A57,concorrenti!A:E,5,1)</f>
        <v>0</v>
      </c>
      <c r="C57" t="s">
        <v>238</v>
      </c>
      <c r="D57" t="s">
        <v>260</v>
      </c>
      <c r="E57">
        <v>1997</v>
      </c>
      <c r="F57" s="5"/>
      <c r="G57">
        <v>5332</v>
      </c>
      <c r="H57" s="4">
        <f t="shared" si="6"/>
        <v>1.97</v>
      </c>
      <c r="I57" s="14">
        <f t="shared" si="7"/>
        <v>10504.039999999999</v>
      </c>
      <c r="J57" s="5"/>
      <c r="K57">
        <v>46</v>
      </c>
      <c r="L57">
        <f>VLOOKUP(K57,Regolamento!A:B,2,0)</f>
        <v>0.5</v>
      </c>
      <c r="M57" s="4">
        <f t="shared" si="8"/>
        <v>1.65</v>
      </c>
      <c r="N57" s="4">
        <f t="shared" si="9"/>
        <v>1.9</v>
      </c>
      <c r="O57" s="6">
        <f t="shared" si="10"/>
        <v>1.5674999999999999</v>
      </c>
      <c r="Q57" s="6">
        <f t="shared" si="5"/>
        <v>82.030769230769238</v>
      </c>
    </row>
    <row r="58" spans="1:17" x14ac:dyDescent="0.25">
      <c r="A58" t="s">
        <v>201</v>
      </c>
      <c r="B58" s="12" t="str">
        <f>VLOOKUP(A58,concorrenti!A:E,5,1)</f>
        <v>X</v>
      </c>
      <c r="C58" t="s">
        <v>236</v>
      </c>
      <c r="D58" t="s">
        <v>264</v>
      </c>
      <c r="E58">
        <v>1996</v>
      </c>
      <c r="F58" s="5"/>
      <c r="G58">
        <v>5964</v>
      </c>
      <c r="H58" s="4">
        <f t="shared" si="6"/>
        <v>1.8599999999999999</v>
      </c>
      <c r="I58" s="14">
        <f t="shared" si="7"/>
        <v>11093.039999999999</v>
      </c>
      <c r="J58" s="5"/>
      <c r="K58">
        <v>47</v>
      </c>
      <c r="L58">
        <f>VLOOKUP(K58,Regolamento!A:B,2,0)</f>
        <v>0.5</v>
      </c>
      <c r="M58" s="4">
        <f t="shared" si="8"/>
        <v>1.65</v>
      </c>
      <c r="N58" s="4">
        <f t="shared" si="9"/>
        <v>1.9</v>
      </c>
      <c r="O58" s="6">
        <f t="shared" si="10"/>
        <v>1.5674999999999999</v>
      </c>
      <c r="Q58" s="6">
        <f t="shared" si="5"/>
        <v>91.753846153846155</v>
      </c>
    </row>
    <row r="59" spans="1:17" x14ac:dyDescent="0.25">
      <c r="A59" t="s">
        <v>91</v>
      </c>
      <c r="B59" s="12">
        <f>VLOOKUP(A59,concorrenti!A:E,5,1)</f>
        <v>0</v>
      </c>
      <c r="C59" t="s">
        <v>122</v>
      </c>
      <c r="D59" t="s">
        <v>268</v>
      </c>
      <c r="E59">
        <v>1995</v>
      </c>
      <c r="F59" s="5"/>
      <c r="G59">
        <v>5883</v>
      </c>
      <c r="H59" s="4">
        <f t="shared" si="6"/>
        <v>1.95</v>
      </c>
      <c r="I59" s="14">
        <f t="shared" si="7"/>
        <v>11471.85</v>
      </c>
      <c r="J59" s="5"/>
      <c r="K59">
        <v>48</v>
      </c>
      <c r="L59">
        <f>VLOOKUP(K59,Regolamento!A:B,2,0)</f>
        <v>0.5</v>
      </c>
      <c r="M59" s="4">
        <f t="shared" si="8"/>
        <v>1.65</v>
      </c>
      <c r="N59" s="4">
        <f t="shared" si="9"/>
        <v>1.9</v>
      </c>
      <c r="O59" s="6">
        <f t="shared" si="10"/>
        <v>1.5674999999999999</v>
      </c>
      <c r="Q59" s="6">
        <f t="shared" si="5"/>
        <v>90.507692307692309</v>
      </c>
    </row>
    <row r="60" spans="1:17" x14ac:dyDescent="0.25">
      <c r="A60" t="s">
        <v>200</v>
      </c>
      <c r="B60" s="12">
        <f>VLOOKUP(A60,concorrenti!A:E,5,1)</f>
        <v>0</v>
      </c>
      <c r="C60" t="s">
        <v>122</v>
      </c>
      <c r="D60" t="s">
        <v>263</v>
      </c>
      <c r="E60">
        <v>1967</v>
      </c>
      <c r="F60" s="5"/>
      <c r="G60">
        <v>6908</v>
      </c>
      <c r="H60" s="4">
        <f t="shared" si="6"/>
        <v>1.67</v>
      </c>
      <c r="I60" s="14">
        <f t="shared" si="7"/>
        <v>11536.359999999999</v>
      </c>
      <c r="J60" s="5"/>
      <c r="K60">
        <v>49</v>
      </c>
      <c r="L60">
        <f>VLOOKUP(K60,Regolamento!A:B,2,0)</f>
        <v>0.5</v>
      </c>
      <c r="M60" s="4">
        <f t="shared" si="8"/>
        <v>1.65</v>
      </c>
      <c r="N60" s="4">
        <f t="shared" si="9"/>
        <v>1.9</v>
      </c>
      <c r="O60" s="6">
        <f t="shared" si="10"/>
        <v>1.5674999999999999</v>
      </c>
      <c r="Q60" s="6">
        <f t="shared" si="5"/>
        <v>106.27692307692308</v>
      </c>
    </row>
    <row r="61" spans="1:17" x14ac:dyDescent="0.25">
      <c r="A61" t="s">
        <v>213</v>
      </c>
      <c r="B61" s="12">
        <f>VLOOKUP(A61,concorrenti!A:E,5,1)</f>
        <v>0</v>
      </c>
      <c r="C61" t="s">
        <v>236</v>
      </c>
      <c r="D61" t="s">
        <v>278</v>
      </c>
      <c r="E61">
        <v>2001</v>
      </c>
      <c r="F61" s="5"/>
      <c r="G61" s="5">
        <v>11928</v>
      </c>
      <c r="H61" s="4">
        <f t="shared" si="6"/>
        <v>1.01</v>
      </c>
      <c r="I61" s="14">
        <f t="shared" si="7"/>
        <v>12047.28</v>
      </c>
      <c r="J61" s="5"/>
      <c r="K61">
        <v>50</v>
      </c>
      <c r="L61">
        <f>VLOOKUP(K61,Regolamento!A:B,2,0)</f>
        <v>0.5</v>
      </c>
      <c r="M61" s="4">
        <f t="shared" si="8"/>
        <v>1.65</v>
      </c>
      <c r="N61" s="4">
        <f t="shared" si="9"/>
        <v>1.9</v>
      </c>
      <c r="O61" s="6">
        <f t="shared" si="10"/>
        <v>1.5674999999999999</v>
      </c>
      <c r="Q61" s="6">
        <f t="shared" si="5"/>
        <v>183.50769230769231</v>
      </c>
    </row>
    <row r="62" spans="1:17" x14ac:dyDescent="0.25">
      <c r="A62" t="s">
        <v>207</v>
      </c>
      <c r="B62" s="12">
        <f>VLOOKUP(A62,concorrenti!A:E,5,1)</f>
        <v>0</v>
      </c>
      <c r="C62" t="s">
        <v>233</v>
      </c>
      <c r="D62" t="s">
        <v>271</v>
      </c>
      <c r="E62">
        <v>1992</v>
      </c>
      <c r="F62" s="5"/>
      <c r="G62">
        <f>9181-106-14-18</f>
        <v>9043</v>
      </c>
      <c r="H62" s="4">
        <f t="shared" si="6"/>
        <v>1.92</v>
      </c>
      <c r="I62" s="14">
        <f t="shared" si="7"/>
        <v>17362.559999999998</v>
      </c>
      <c r="J62" s="5"/>
      <c r="K62">
        <v>51</v>
      </c>
      <c r="L62">
        <f>VLOOKUP(K62,Regolamento!A:B,2,0)</f>
        <v>0.5</v>
      </c>
      <c r="M62" s="4">
        <f t="shared" si="8"/>
        <v>1.65</v>
      </c>
      <c r="N62" s="4">
        <f t="shared" si="9"/>
        <v>1.9</v>
      </c>
      <c r="O62" s="6">
        <f t="shared" si="10"/>
        <v>1.5674999999999999</v>
      </c>
      <c r="Q62" s="6">
        <f t="shared" si="5"/>
        <v>139.12307692307692</v>
      </c>
    </row>
    <row r="63" spans="1:17" x14ac:dyDescent="0.25">
      <c r="A63" t="s">
        <v>214</v>
      </c>
      <c r="B63" s="12">
        <f>VLOOKUP(A63,concorrenti!A:E,5,1)</f>
        <v>0</v>
      </c>
      <c r="C63" t="s">
        <v>244</v>
      </c>
      <c r="D63" t="s">
        <v>279</v>
      </c>
      <c r="E63">
        <v>1991</v>
      </c>
      <c r="G63">
        <f>10632-51</f>
        <v>10581</v>
      </c>
      <c r="H63" s="4">
        <f t="shared" si="6"/>
        <v>1.9100000000000001</v>
      </c>
      <c r="I63" s="14">
        <f t="shared" si="7"/>
        <v>20209.710000000003</v>
      </c>
      <c r="J63" s="5"/>
      <c r="K63">
        <v>52</v>
      </c>
      <c r="L63">
        <f>VLOOKUP(K63,Regolamento!A:B,2,0)</f>
        <v>0.5</v>
      </c>
      <c r="M63" s="4">
        <f t="shared" si="8"/>
        <v>1.65</v>
      </c>
      <c r="N63" s="4">
        <f t="shared" si="9"/>
        <v>1.9</v>
      </c>
      <c r="O63" s="6">
        <f t="shared" si="10"/>
        <v>1.5674999999999999</v>
      </c>
      <c r="Q63" s="6">
        <f t="shared" si="5"/>
        <v>162.78461538461539</v>
      </c>
    </row>
    <row r="64" spans="1:17" x14ac:dyDescent="0.25">
      <c r="A64" t="s">
        <v>204</v>
      </c>
      <c r="B64" s="12">
        <f>VLOOKUP(A64,concorrenti!A:E,5,1)</f>
        <v>0</v>
      </c>
      <c r="C64" t="s">
        <v>122</v>
      </c>
      <c r="D64" t="s">
        <v>267</v>
      </c>
      <c r="E64">
        <v>1932</v>
      </c>
      <c r="F64" s="5"/>
      <c r="G64">
        <f>16633-300-167-86</f>
        <v>16080</v>
      </c>
      <c r="H64" s="4">
        <f t="shared" si="6"/>
        <v>1.32</v>
      </c>
      <c r="I64" s="14">
        <f t="shared" si="7"/>
        <v>21225.600000000002</v>
      </c>
      <c r="J64" s="5"/>
      <c r="K64">
        <v>53</v>
      </c>
      <c r="L64">
        <f>VLOOKUP(K64,Regolamento!A:B,2,0)</f>
        <v>0.5</v>
      </c>
      <c r="M64" s="4">
        <f t="shared" si="8"/>
        <v>1.65</v>
      </c>
      <c r="N64" s="4">
        <f t="shared" si="9"/>
        <v>1.9</v>
      </c>
      <c r="O64" s="6">
        <f t="shared" si="10"/>
        <v>1.5674999999999999</v>
      </c>
      <c r="Q64" s="6">
        <f t="shared" si="5"/>
        <v>247.38461538461539</v>
      </c>
    </row>
    <row r="65" spans="1:17" x14ac:dyDescent="0.25">
      <c r="A65" t="s">
        <v>206</v>
      </c>
      <c r="B65" s="12">
        <f>VLOOKUP(A65,concorrenti!A:E,5,1)</f>
        <v>0</v>
      </c>
      <c r="C65" t="s">
        <v>242</v>
      </c>
      <c r="D65" t="s">
        <v>270</v>
      </c>
      <c r="E65">
        <v>1969</v>
      </c>
      <c r="F65" s="5"/>
      <c r="G65">
        <v>14803</v>
      </c>
      <c r="H65" s="4">
        <f t="shared" si="6"/>
        <v>1.69</v>
      </c>
      <c r="I65" s="14">
        <f t="shared" si="7"/>
        <v>25017.07</v>
      </c>
      <c r="J65" s="5"/>
      <c r="K65">
        <v>54</v>
      </c>
      <c r="L65">
        <f>VLOOKUP(K65,Regolamento!A:B,2,0)</f>
        <v>0.5</v>
      </c>
      <c r="M65" s="4">
        <f t="shared" si="8"/>
        <v>1.65</v>
      </c>
      <c r="N65" s="4">
        <f t="shared" si="9"/>
        <v>1.9</v>
      </c>
      <c r="O65" s="6">
        <f t="shared" si="10"/>
        <v>1.5674999999999999</v>
      </c>
      <c r="Q65" s="6">
        <f t="shared" si="5"/>
        <v>227.73846153846154</v>
      </c>
    </row>
    <row r="66" spans="1:17" x14ac:dyDescent="0.25">
      <c r="A66" t="s">
        <v>217</v>
      </c>
      <c r="B66" s="12">
        <f>VLOOKUP(A66,concorrenti!A:E,5,1)</f>
        <v>0</v>
      </c>
      <c r="C66" t="s">
        <v>233</v>
      </c>
      <c r="D66" t="s">
        <v>282</v>
      </c>
      <c r="E66">
        <v>1949</v>
      </c>
      <c r="G66">
        <v>16826</v>
      </c>
      <c r="H66" s="4">
        <f t="shared" si="6"/>
        <v>1.49</v>
      </c>
      <c r="I66" s="14">
        <f t="shared" si="7"/>
        <v>25070.74</v>
      </c>
      <c r="J66" s="5"/>
      <c r="K66">
        <v>55</v>
      </c>
      <c r="L66">
        <f>VLOOKUP(K66,Regolamento!A:B,2,0)</f>
        <v>0.5</v>
      </c>
      <c r="M66" s="4">
        <f t="shared" si="8"/>
        <v>1.65</v>
      </c>
      <c r="N66" s="4">
        <f t="shared" si="9"/>
        <v>1.9</v>
      </c>
      <c r="O66" s="6">
        <f t="shared" si="10"/>
        <v>1.5674999999999999</v>
      </c>
      <c r="Q66" s="6">
        <f t="shared" si="5"/>
        <v>258.86153846153849</v>
      </c>
    </row>
    <row r="67" spans="1:17" x14ac:dyDescent="0.25">
      <c r="H67"/>
      <c r="I67" s="13"/>
      <c r="N67"/>
      <c r="O67" s="6">
        <f>SUM(O12:O66)</f>
        <v>2656.9125000000017</v>
      </c>
    </row>
  </sheetData>
  <sortState xmlns:xlrd2="http://schemas.microsoft.com/office/spreadsheetml/2017/richdata2" ref="A12:I66">
    <sortCondition ref="I12:I66"/>
  </sortState>
  <mergeCells count="3">
    <mergeCell ref="F1:N1"/>
    <mergeCell ref="G8:I8"/>
    <mergeCell ref="M8:N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68"/>
  <sheetViews>
    <sheetView workbookViewId="0">
      <selection activeCell="C30" sqref="C30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104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>
        <v>45052</v>
      </c>
    </row>
    <row r="3" spans="1:15" x14ac:dyDescent="0.25">
      <c r="A3" t="s">
        <v>65</v>
      </c>
      <c r="D3" s="35" t="s">
        <v>105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43" si="0">1+RIGHT(E12,2)/100</f>
        <v>#VALUE!</v>
      </c>
      <c r="I12" s="4" t="e">
        <f t="shared" ref="I12:I43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ref="H44:H65" si="5">1+RIGHT(E44,2)/100</f>
        <v>#VALUE!</v>
      </c>
      <c r="I44" s="4" t="e">
        <f t="shared" ref="I44:I65" si="6">+H44*G44</f>
        <v>#VALUE!</v>
      </c>
      <c r="K44">
        <v>33</v>
      </c>
      <c r="L44">
        <f>VLOOKUP(K44,Regolamento!A:B,2,1)</f>
        <v>8</v>
      </c>
      <c r="M44" s="4">
        <f t="shared" ref="M44:M65" si="7">1+D$5/100</f>
        <v>1</v>
      </c>
      <c r="N44" s="4">
        <f t="shared" ref="N44:N65" si="8">1+D$6/100</f>
        <v>1</v>
      </c>
      <c r="O44" s="6">
        <f t="shared" si="4"/>
        <v>0</v>
      </c>
    </row>
    <row r="45" spans="1:15" x14ac:dyDescent="0.25">
      <c r="H45" s="4" t="e">
        <f t="shared" si="5"/>
        <v>#VALUE!</v>
      </c>
      <c r="I45" s="4" t="e">
        <f t="shared" si="6"/>
        <v>#VALUE!</v>
      </c>
      <c r="K45">
        <v>34</v>
      </c>
      <c r="L45">
        <f>VLOOKUP(K45,Regolamento!A:B,2,1)</f>
        <v>7</v>
      </c>
      <c r="M45" s="4">
        <f t="shared" si="7"/>
        <v>1</v>
      </c>
      <c r="N45" s="4">
        <f t="shared" si="8"/>
        <v>1</v>
      </c>
      <c r="O45" s="6">
        <f t="shared" si="4"/>
        <v>0</v>
      </c>
    </row>
    <row r="46" spans="1:15" x14ac:dyDescent="0.25">
      <c r="H46" s="4" t="e">
        <f t="shared" si="5"/>
        <v>#VALUE!</v>
      </c>
      <c r="I46" s="4" t="e">
        <f t="shared" si="6"/>
        <v>#VALUE!</v>
      </c>
      <c r="K46">
        <v>35</v>
      </c>
      <c r="L46">
        <f>VLOOKUP(K46,Regolamento!A:B,2,1)</f>
        <v>6</v>
      </c>
      <c r="M46" s="4">
        <f t="shared" si="7"/>
        <v>1</v>
      </c>
      <c r="N46" s="4">
        <f t="shared" si="8"/>
        <v>1</v>
      </c>
      <c r="O46" s="6">
        <f t="shared" si="4"/>
        <v>0</v>
      </c>
    </row>
    <row r="47" spans="1:15" x14ac:dyDescent="0.25">
      <c r="H47" s="4" t="e">
        <f t="shared" si="5"/>
        <v>#VALUE!</v>
      </c>
      <c r="I47" s="4" t="e">
        <f t="shared" si="6"/>
        <v>#VALUE!</v>
      </c>
      <c r="K47">
        <v>36</v>
      </c>
      <c r="L47">
        <f>VLOOKUP(K47,Regolamento!A:B,2,1)</f>
        <v>5</v>
      </c>
      <c r="M47" s="4">
        <f t="shared" si="7"/>
        <v>1</v>
      </c>
      <c r="N47" s="4">
        <f t="shared" si="8"/>
        <v>1</v>
      </c>
      <c r="O47" s="6">
        <f t="shared" si="4"/>
        <v>0</v>
      </c>
    </row>
    <row r="48" spans="1:15" x14ac:dyDescent="0.25">
      <c r="H48" s="4" t="e">
        <f t="shared" si="5"/>
        <v>#VALUE!</v>
      </c>
      <c r="I48" s="4" t="e">
        <f t="shared" si="6"/>
        <v>#VALUE!</v>
      </c>
      <c r="K48">
        <v>37</v>
      </c>
      <c r="L48">
        <f>VLOOKUP(K48,Regolamento!A:B,2,1)</f>
        <v>4</v>
      </c>
      <c r="M48" s="4">
        <f t="shared" si="7"/>
        <v>1</v>
      </c>
      <c r="N48" s="4">
        <f t="shared" si="8"/>
        <v>1</v>
      </c>
      <c r="O48" s="6">
        <f t="shared" si="4"/>
        <v>0</v>
      </c>
    </row>
    <row r="49" spans="1:15" x14ac:dyDescent="0.25">
      <c r="H49" s="4" t="e">
        <f t="shared" si="5"/>
        <v>#VALUE!</v>
      </c>
      <c r="I49" s="4" t="e">
        <f t="shared" si="6"/>
        <v>#VALUE!</v>
      </c>
      <c r="K49">
        <v>38</v>
      </c>
      <c r="L49">
        <f>VLOOKUP(K49,Regolamento!A:B,2,1)</f>
        <v>3</v>
      </c>
      <c r="M49" s="4">
        <f t="shared" si="7"/>
        <v>1</v>
      </c>
      <c r="N49" s="4">
        <f t="shared" si="8"/>
        <v>1</v>
      </c>
      <c r="O49" s="6">
        <f t="shared" si="4"/>
        <v>0</v>
      </c>
    </row>
    <row r="50" spans="1:15" x14ac:dyDescent="0.25">
      <c r="H50" s="4" t="e">
        <f t="shared" si="5"/>
        <v>#VALUE!</v>
      </c>
      <c r="I50" s="4" t="e">
        <f t="shared" si="6"/>
        <v>#VALUE!</v>
      </c>
      <c r="K50">
        <v>39</v>
      </c>
      <c r="L50">
        <f>VLOOKUP(K50,Regolamento!A:B,2,1)</f>
        <v>2</v>
      </c>
      <c r="M50" s="4">
        <f t="shared" si="7"/>
        <v>1</v>
      </c>
      <c r="N50" s="4">
        <f t="shared" si="8"/>
        <v>1</v>
      </c>
      <c r="O50" s="6">
        <f t="shared" si="4"/>
        <v>0</v>
      </c>
    </row>
    <row r="51" spans="1:15" x14ac:dyDescent="0.25">
      <c r="H51" s="4" t="e">
        <f t="shared" si="5"/>
        <v>#VALUE!</v>
      </c>
      <c r="I51" s="4" t="e">
        <f t="shared" si="6"/>
        <v>#VALUE!</v>
      </c>
      <c r="K51">
        <v>40</v>
      </c>
      <c r="L51">
        <f>VLOOKUP(K51,Regolamento!A:B,2,1)</f>
        <v>1</v>
      </c>
      <c r="M51" s="4">
        <f t="shared" si="7"/>
        <v>1</v>
      </c>
      <c r="N51" s="4">
        <f t="shared" si="8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5"/>
        <v>#VALUE!</v>
      </c>
      <c r="I52" s="4" t="e">
        <f t="shared" si="6"/>
        <v>#VALUE!</v>
      </c>
      <c r="K52">
        <v>41</v>
      </c>
      <c r="L52">
        <f>VLOOKUP(K52,Regolamento!A:B,2,1)</f>
        <v>0.5</v>
      </c>
      <c r="M52" s="4">
        <f t="shared" si="7"/>
        <v>1</v>
      </c>
      <c r="N52" s="4">
        <f t="shared" si="8"/>
        <v>1</v>
      </c>
      <c r="O52" s="6">
        <f t="shared" si="4"/>
        <v>0</v>
      </c>
    </row>
    <row r="53" spans="1:15" x14ac:dyDescent="0.25">
      <c r="H53" s="4" t="e">
        <f t="shared" si="5"/>
        <v>#VALUE!</v>
      </c>
      <c r="I53" s="4" t="e">
        <f t="shared" si="6"/>
        <v>#VALUE!</v>
      </c>
      <c r="K53">
        <v>42</v>
      </c>
      <c r="L53">
        <f>VLOOKUP(K53,Regolamento!A:B,2,1)</f>
        <v>0.5</v>
      </c>
      <c r="M53" s="4">
        <f t="shared" si="7"/>
        <v>1</v>
      </c>
      <c r="N53" s="4">
        <f t="shared" si="8"/>
        <v>1</v>
      </c>
      <c r="O53" s="6">
        <f t="shared" si="4"/>
        <v>0</v>
      </c>
    </row>
    <row r="54" spans="1:15" x14ac:dyDescent="0.25">
      <c r="H54" s="4" t="e">
        <f t="shared" si="5"/>
        <v>#VALUE!</v>
      </c>
      <c r="I54" s="4" t="e">
        <f t="shared" si="6"/>
        <v>#VALUE!</v>
      </c>
      <c r="K54">
        <v>43</v>
      </c>
      <c r="L54">
        <f>VLOOKUP(K54,Regolamento!A:B,2,1)</f>
        <v>0.5</v>
      </c>
      <c r="M54" s="4">
        <f t="shared" si="7"/>
        <v>1</v>
      </c>
      <c r="N54" s="4">
        <f t="shared" si="8"/>
        <v>1</v>
      </c>
      <c r="O54" s="6">
        <f t="shared" si="4"/>
        <v>0</v>
      </c>
    </row>
    <row r="55" spans="1:15" x14ac:dyDescent="0.25">
      <c r="H55" s="4" t="e">
        <f t="shared" si="5"/>
        <v>#VALUE!</v>
      </c>
      <c r="I55" s="4" t="e">
        <f t="shared" si="6"/>
        <v>#VALUE!</v>
      </c>
      <c r="K55">
        <v>44</v>
      </c>
      <c r="L55">
        <f>VLOOKUP(K55,Regolamento!A:B,2,1)</f>
        <v>0.5</v>
      </c>
      <c r="M55" s="4">
        <f t="shared" si="7"/>
        <v>1</v>
      </c>
      <c r="N55" s="4">
        <f t="shared" si="8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5"/>
        <v>#VALUE!</v>
      </c>
      <c r="I56" s="4" t="e">
        <f t="shared" si="6"/>
        <v>#VALUE!</v>
      </c>
      <c r="K56">
        <v>45</v>
      </c>
      <c r="L56">
        <f>VLOOKUP(K56,Regolamento!A:B,2,1)</f>
        <v>0.5</v>
      </c>
      <c r="M56" s="4">
        <f t="shared" si="7"/>
        <v>1</v>
      </c>
      <c r="N56" s="4">
        <f t="shared" si="8"/>
        <v>1</v>
      </c>
      <c r="O56" s="6">
        <f t="shared" si="4"/>
        <v>0</v>
      </c>
    </row>
    <row r="57" spans="1:15" x14ac:dyDescent="0.25">
      <c r="H57" s="4" t="e">
        <f t="shared" si="5"/>
        <v>#VALUE!</v>
      </c>
      <c r="I57" s="4" t="e">
        <f t="shared" si="6"/>
        <v>#VALUE!</v>
      </c>
      <c r="K57">
        <v>46</v>
      </c>
      <c r="L57">
        <f>VLOOKUP(K57,Regolamento!A:B,2,1)</f>
        <v>0.5</v>
      </c>
      <c r="M57" s="4">
        <f t="shared" si="7"/>
        <v>1</v>
      </c>
      <c r="N57" s="4">
        <f t="shared" si="8"/>
        <v>1</v>
      </c>
      <c r="O57" s="6">
        <f t="shared" si="4"/>
        <v>0</v>
      </c>
    </row>
    <row r="58" spans="1:15" x14ac:dyDescent="0.25">
      <c r="H58" s="4" t="e">
        <f t="shared" si="5"/>
        <v>#VALUE!</v>
      </c>
      <c r="I58" s="4" t="e">
        <f t="shared" si="6"/>
        <v>#VALUE!</v>
      </c>
      <c r="K58">
        <v>47</v>
      </c>
      <c r="L58">
        <f>VLOOKUP(K58,Regolamento!A:B,2,1)</f>
        <v>0.5</v>
      </c>
      <c r="M58" s="4">
        <f t="shared" si="7"/>
        <v>1</v>
      </c>
      <c r="N58" s="4">
        <f t="shared" si="8"/>
        <v>1</v>
      </c>
      <c r="O58" s="6">
        <f t="shared" si="4"/>
        <v>0</v>
      </c>
    </row>
    <row r="59" spans="1:15" x14ac:dyDescent="0.25">
      <c r="H59" s="4" t="e">
        <f t="shared" si="5"/>
        <v>#VALUE!</v>
      </c>
      <c r="I59" s="4" t="e">
        <f t="shared" si="6"/>
        <v>#VALUE!</v>
      </c>
      <c r="K59">
        <v>48</v>
      </c>
      <c r="L59">
        <f>VLOOKUP(K59,Regolamento!A:B,2,1)</f>
        <v>0.5</v>
      </c>
      <c r="M59" s="4">
        <f t="shared" si="7"/>
        <v>1</v>
      </c>
      <c r="N59" s="4">
        <f t="shared" si="8"/>
        <v>1</v>
      </c>
      <c r="O59" s="6">
        <f t="shared" si="4"/>
        <v>0</v>
      </c>
    </row>
    <row r="60" spans="1:15" x14ac:dyDescent="0.25">
      <c r="H60" s="4" t="e">
        <f t="shared" si="5"/>
        <v>#VALUE!</v>
      </c>
      <c r="I60" s="4" t="e">
        <f t="shared" si="6"/>
        <v>#VALUE!</v>
      </c>
      <c r="K60">
        <v>49</v>
      </c>
      <c r="L60">
        <f>VLOOKUP(K60,Regolamento!A:B,2,1)</f>
        <v>0.5</v>
      </c>
      <c r="M60" s="4">
        <f t="shared" si="7"/>
        <v>1</v>
      </c>
      <c r="N60" s="4">
        <f t="shared" si="8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5"/>
        <v>#VALUE!</v>
      </c>
      <c r="I61" s="4" t="e">
        <f t="shared" si="6"/>
        <v>#VALUE!</v>
      </c>
      <c r="K61">
        <v>50</v>
      </c>
      <c r="L61">
        <f>VLOOKUP(K61,Regolamento!A:B,2,1)</f>
        <v>0.5</v>
      </c>
      <c r="M61" s="4">
        <f t="shared" si="7"/>
        <v>1</v>
      </c>
      <c r="N61" s="4">
        <f t="shared" si="8"/>
        <v>1</v>
      </c>
      <c r="O61" s="6">
        <f t="shared" si="4"/>
        <v>0</v>
      </c>
    </row>
    <row r="62" spans="1:15" x14ac:dyDescent="0.25">
      <c r="H62" s="4" t="e">
        <f t="shared" si="5"/>
        <v>#VALUE!</v>
      </c>
      <c r="I62" s="4" t="e">
        <f t="shared" si="6"/>
        <v>#VALUE!</v>
      </c>
      <c r="K62">
        <v>51</v>
      </c>
      <c r="L62">
        <f>VLOOKUP(K62,Regolamento!A:B,2,1)</f>
        <v>0.5</v>
      </c>
      <c r="M62" s="4">
        <f t="shared" si="7"/>
        <v>1</v>
      </c>
      <c r="N62" s="4">
        <f t="shared" si="8"/>
        <v>1</v>
      </c>
      <c r="O62" s="6">
        <f t="shared" si="4"/>
        <v>0</v>
      </c>
    </row>
    <row r="63" spans="1:15" x14ac:dyDescent="0.25">
      <c r="H63" s="4" t="e">
        <f t="shared" si="5"/>
        <v>#VALUE!</v>
      </c>
      <c r="I63" s="4" t="e">
        <f t="shared" si="6"/>
        <v>#VALUE!</v>
      </c>
      <c r="K63">
        <v>52</v>
      </c>
      <c r="L63">
        <f>VLOOKUP(K63,Regolamento!A:B,2,1)</f>
        <v>0.5</v>
      </c>
      <c r="M63" s="4">
        <f t="shared" si="7"/>
        <v>1</v>
      </c>
      <c r="N63" s="4">
        <f t="shared" si="8"/>
        <v>1</v>
      </c>
      <c r="O63" s="6">
        <f t="shared" si="4"/>
        <v>0</v>
      </c>
    </row>
    <row r="64" spans="1:15" x14ac:dyDescent="0.25">
      <c r="H64" s="4" t="e">
        <f t="shared" si="5"/>
        <v>#VALUE!</v>
      </c>
      <c r="I64" s="4" t="e">
        <f t="shared" si="6"/>
        <v>#VALUE!</v>
      </c>
      <c r="K64">
        <v>53</v>
      </c>
      <c r="L64">
        <f>VLOOKUP(K64,Regolamento!A:B,2,1)</f>
        <v>0.5</v>
      </c>
      <c r="M64" s="4">
        <f t="shared" si="7"/>
        <v>1</v>
      </c>
      <c r="N64" s="4">
        <f t="shared" si="8"/>
        <v>1</v>
      </c>
      <c r="O64" s="6">
        <f t="shared" si="4"/>
        <v>0</v>
      </c>
    </row>
    <row r="65" spans="8:15" x14ac:dyDescent="0.25">
      <c r="H65" s="4" t="e">
        <f t="shared" si="5"/>
        <v>#VALUE!</v>
      </c>
      <c r="I65" s="4" t="e">
        <f t="shared" si="6"/>
        <v>#VALUE!</v>
      </c>
      <c r="K65">
        <v>54</v>
      </c>
      <c r="L65">
        <f>VLOOKUP(K65,Regolamento!A:B,2,1)</f>
        <v>0.5</v>
      </c>
      <c r="M65" s="4">
        <f t="shared" si="7"/>
        <v>1</v>
      </c>
      <c r="N65" s="4">
        <f t="shared" si="8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sortState xmlns:xlrd2="http://schemas.microsoft.com/office/spreadsheetml/2017/richdata2" ref="A12:I65">
    <sortCondition ref="I12:I65"/>
  </sortState>
  <mergeCells count="3">
    <mergeCell ref="G1:O1"/>
    <mergeCell ref="G8:I8"/>
    <mergeCell ref="M8:N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FFFF00"/>
  </sheetPr>
  <dimension ref="A1:Q68"/>
  <sheetViews>
    <sheetView workbookViewId="0">
      <selection activeCell="D2" sqref="D2:D6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106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 t="s">
        <v>108</v>
      </c>
    </row>
    <row r="3" spans="1:15" x14ac:dyDescent="0.25">
      <c r="A3" t="s">
        <v>65</v>
      </c>
      <c r="D3" s="35" t="s">
        <v>107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FFFF00"/>
  </sheetPr>
  <dimension ref="A1:Q68"/>
  <sheetViews>
    <sheetView workbookViewId="0">
      <selection activeCell="D2" sqref="D2:D6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110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 t="s">
        <v>109</v>
      </c>
    </row>
    <row r="3" spans="1:15" x14ac:dyDescent="0.25">
      <c r="A3" t="s">
        <v>65</v>
      </c>
      <c r="D3" s="35" t="s">
        <v>66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FFFF00"/>
  </sheetPr>
  <dimension ref="A1:Q68"/>
  <sheetViews>
    <sheetView workbookViewId="0">
      <selection activeCell="D2" sqref="D2:D6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111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>
        <v>45207</v>
      </c>
    </row>
    <row r="3" spans="1:15" x14ac:dyDescent="0.25">
      <c r="A3" t="s">
        <v>65</v>
      </c>
      <c r="D3" s="35" t="s">
        <v>107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FFFF00"/>
  </sheetPr>
  <dimension ref="A1:Q68"/>
  <sheetViews>
    <sheetView workbookViewId="0">
      <selection activeCell="D2" sqref="D2:D6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112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>
        <v>45214</v>
      </c>
    </row>
    <row r="3" spans="1:15" x14ac:dyDescent="0.25">
      <c r="A3" t="s">
        <v>65</v>
      </c>
      <c r="D3" s="35" t="s">
        <v>68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rgb="FFFFFF00"/>
  </sheetPr>
  <dimension ref="A1:Q68"/>
  <sheetViews>
    <sheetView workbookViewId="0">
      <selection activeCell="D31" sqref="D31"/>
    </sheetView>
  </sheetViews>
  <sheetFormatPr defaultRowHeight="14.3" x14ac:dyDescent="0.25"/>
  <cols>
    <col min="1" max="1" width="23.125" bestFit="1" customWidth="1"/>
    <col min="2" max="2" width="9.125" bestFit="1" customWidth="1"/>
    <col min="3" max="3" width="13.625" bestFit="1" customWidth="1"/>
    <col min="4" max="4" width="20.375" bestFit="1" customWidth="1"/>
    <col min="5" max="5" width="5.75" bestFit="1" customWidth="1"/>
    <col min="6" max="6" width="2.375" customWidth="1"/>
    <col min="7" max="7" width="8.25" bestFit="1" customWidth="1"/>
    <col min="8" max="8" width="6" style="4" bestFit="1" customWidth="1"/>
    <col min="9" max="9" width="13.25" style="4" bestFit="1" customWidth="1"/>
    <col min="10" max="10" width="3" customWidth="1"/>
    <col min="11" max="12" width="5.75" bestFit="1" customWidth="1"/>
    <col min="13" max="13" width="6.125" bestFit="1" customWidth="1"/>
    <col min="14" max="14" width="8.125" bestFit="1" customWidth="1"/>
    <col min="15" max="15" width="9.625" bestFit="1" customWidth="1"/>
  </cols>
  <sheetData>
    <row r="1" spans="1:15" ht="15.65" x14ac:dyDescent="0.25">
      <c r="A1" t="s">
        <v>47</v>
      </c>
      <c r="G1" s="101" t="s">
        <v>113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t="s">
        <v>48</v>
      </c>
      <c r="D2" s="35" t="s">
        <v>114</v>
      </c>
    </row>
    <row r="3" spans="1:15" x14ac:dyDescent="0.25">
      <c r="A3" t="s">
        <v>65</v>
      </c>
      <c r="D3" s="35" t="s">
        <v>105</v>
      </c>
    </row>
    <row r="4" spans="1:15" x14ac:dyDescent="0.25">
      <c r="A4" t="s">
        <v>52</v>
      </c>
      <c r="D4" s="1" t="s">
        <v>7</v>
      </c>
    </row>
    <row r="5" spans="1:15" x14ac:dyDescent="0.25">
      <c r="A5" t="s">
        <v>50</v>
      </c>
      <c r="D5" s="1">
        <v>0</v>
      </c>
    </row>
    <row r="6" spans="1:15" x14ac:dyDescent="0.25">
      <c r="A6" t="s">
        <v>51</v>
      </c>
      <c r="D6" s="1">
        <v>0</v>
      </c>
    </row>
    <row r="7" spans="1:15" x14ac:dyDescent="0.25">
      <c r="C7" s="1"/>
    </row>
    <row r="8" spans="1:15" x14ac:dyDescent="0.25">
      <c r="A8" s="36" t="s">
        <v>44</v>
      </c>
      <c r="B8" s="79" t="s">
        <v>46</v>
      </c>
      <c r="C8" s="18" t="s">
        <v>55</v>
      </c>
      <c r="D8" s="18" t="s">
        <v>56</v>
      </c>
      <c r="E8" s="19" t="s">
        <v>57</v>
      </c>
      <c r="G8" s="99" t="s">
        <v>53</v>
      </c>
      <c r="H8" s="97"/>
      <c r="I8" s="100"/>
      <c r="J8" s="2"/>
      <c r="K8" s="27" t="s">
        <v>54</v>
      </c>
      <c r="L8" s="30"/>
      <c r="M8" s="97" t="s">
        <v>8</v>
      </c>
      <c r="N8" s="97"/>
      <c r="O8" s="31"/>
    </row>
    <row r="9" spans="1:15" x14ac:dyDescent="0.25">
      <c r="G9" s="20" t="s">
        <v>36</v>
      </c>
      <c r="H9" s="21" t="s">
        <v>38</v>
      </c>
      <c r="I9" s="22" t="s">
        <v>0</v>
      </c>
      <c r="J9" s="7"/>
      <c r="K9" s="28"/>
      <c r="L9" s="32" t="s">
        <v>0</v>
      </c>
      <c r="M9" s="21" t="s">
        <v>9</v>
      </c>
      <c r="N9" s="21" t="s">
        <v>5</v>
      </c>
      <c r="O9" s="33" t="s">
        <v>11</v>
      </c>
    </row>
    <row r="10" spans="1:15" x14ac:dyDescent="0.25">
      <c r="G10" s="23" t="s">
        <v>37</v>
      </c>
      <c r="H10" s="24"/>
      <c r="I10" s="25" t="s">
        <v>39</v>
      </c>
      <c r="J10" s="6"/>
      <c r="K10" s="29"/>
      <c r="L10" s="34"/>
      <c r="M10" s="24"/>
      <c r="N10" s="24"/>
      <c r="O10" s="25"/>
    </row>
    <row r="12" spans="1:15" x14ac:dyDescent="0.25">
      <c r="H12" s="4" t="e">
        <f t="shared" ref="H12:H65" si="0">1+RIGHT(E12,2)/100</f>
        <v>#VALUE!</v>
      </c>
      <c r="I12" s="4" t="e">
        <f t="shared" ref="I12:I65" si="1">+H12*G12</f>
        <v>#VALUE!</v>
      </c>
      <c r="K12">
        <v>1</v>
      </c>
      <c r="L12">
        <f>VLOOKUP(K12,Regolamento!A:B,2,1)</f>
        <v>50</v>
      </c>
      <c r="M12" s="4">
        <f t="shared" ref="M12:M43" si="2">1+D$5/100</f>
        <v>1</v>
      </c>
      <c r="N12" s="4">
        <f t="shared" ref="N12:N43" si="3">1+D$6/100</f>
        <v>1</v>
      </c>
      <c r="O12" s="6">
        <f>IF(G12&lt;&gt;0,+L12*M12*N12,0)</f>
        <v>0</v>
      </c>
    </row>
    <row r="13" spans="1:15" x14ac:dyDescent="0.25">
      <c r="H13" s="4" t="e">
        <f t="shared" si="0"/>
        <v>#VALUE!</v>
      </c>
      <c r="I13" s="4" t="e">
        <f t="shared" si="1"/>
        <v>#VALUE!</v>
      </c>
      <c r="K13">
        <v>2</v>
      </c>
      <c r="L13">
        <f>VLOOKUP(K13,Regolamento!A:B,2,1)</f>
        <v>45</v>
      </c>
      <c r="M13" s="4">
        <f t="shared" si="2"/>
        <v>1</v>
      </c>
      <c r="N13" s="4">
        <f t="shared" si="3"/>
        <v>1</v>
      </c>
      <c r="O13" s="6">
        <f t="shared" ref="O13:O65" si="4">IF(G13&lt;&gt;0,+L13*M13*N13,0)</f>
        <v>0</v>
      </c>
    </row>
    <row r="14" spans="1:15" x14ac:dyDescent="0.25">
      <c r="H14" s="4" t="e">
        <f t="shared" si="0"/>
        <v>#VALUE!</v>
      </c>
      <c r="I14" s="4" t="e">
        <f t="shared" si="1"/>
        <v>#VALUE!</v>
      </c>
      <c r="K14">
        <v>3</v>
      </c>
      <c r="L14">
        <f>VLOOKUP(K14,Regolamento!A:B,2,1)</f>
        <v>41</v>
      </c>
      <c r="M14" s="4">
        <f t="shared" si="2"/>
        <v>1</v>
      </c>
      <c r="N14" s="4">
        <f t="shared" si="3"/>
        <v>1</v>
      </c>
      <c r="O14" s="6">
        <f t="shared" si="4"/>
        <v>0</v>
      </c>
    </row>
    <row r="15" spans="1:15" x14ac:dyDescent="0.25">
      <c r="H15" s="4" t="e">
        <f t="shared" si="0"/>
        <v>#VALUE!</v>
      </c>
      <c r="I15" s="4" t="e">
        <f t="shared" si="1"/>
        <v>#VALUE!</v>
      </c>
      <c r="K15">
        <v>4</v>
      </c>
      <c r="L15">
        <f>VLOOKUP(K15,Regolamento!A:B,2,1)</f>
        <v>38</v>
      </c>
      <c r="M15" s="4">
        <f t="shared" si="2"/>
        <v>1</v>
      </c>
      <c r="N15" s="4">
        <f t="shared" si="3"/>
        <v>1</v>
      </c>
      <c r="O15" s="6">
        <f t="shared" si="4"/>
        <v>0</v>
      </c>
    </row>
    <row r="16" spans="1:15" x14ac:dyDescent="0.25">
      <c r="H16" s="4" t="e">
        <f t="shared" si="0"/>
        <v>#VALUE!</v>
      </c>
      <c r="I16" s="4" t="e">
        <f t="shared" si="1"/>
        <v>#VALUE!</v>
      </c>
      <c r="K16">
        <v>5</v>
      </c>
      <c r="L16">
        <f>VLOOKUP(K16,Regolamento!A:B,2,1)</f>
        <v>36</v>
      </c>
      <c r="M16" s="4">
        <f t="shared" si="2"/>
        <v>1</v>
      </c>
      <c r="N16" s="4">
        <f t="shared" si="3"/>
        <v>1</v>
      </c>
      <c r="O16" s="6">
        <f t="shared" si="4"/>
        <v>0</v>
      </c>
    </row>
    <row r="17" spans="1:17" x14ac:dyDescent="0.25">
      <c r="H17" s="4" t="e">
        <f t="shared" si="0"/>
        <v>#VALUE!</v>
      </c>
      <c r="I17" s="4" t="e">
        <f t="shared" si="1"/>
        <v>#VALUE!</v>
      </c>
      <c r="J17" s="9"/>
      <c r="K17">
        <v>6</v>
      </c>
      <c r="L17">
        <f>VLOOKUP(K17,Regolamento!A:B,2,1)</f>
        <v>35</v>
      </c>
      <c r="M17" s="4">
        <f t="shared" si="2"/>
        <v>1</v>
      </c>
      <c r="N17" s="4">
        <f t="shared" si="3"/>
        <v>1</v>
      </c>
      <c r="O17" s="6">
        <f t="shared" si="4"/>
        <v>0</v>
      </c>
    </row>
    <row r="18" spans="1:17" x14ac:dyDescent="0.25">
      <c r="H18" s="4" t="e">
        <f t="shared" si="0"/>
        <v>#VALUE!</v>
      </c>
      <c r="I18" s="4" t="e">
        <f t="shared" si="1"/>
        <v>#VALUE!</v>
      </c>
      <c r="K18">
        <v>7</v>
      </c>
      <c r="L18">
        <f>VLOOKUP(K18,Regolamento!A:B,2,1)</f>
        <v>34</v>
      </c>
      <c r="M18" s="4">
        <f t="shared" si="2"/>
        <v>1</v>
      </c>
      <c r="N18" s="4">
        <f t="shared" si="3"/>
        <v>1</v>
      </c>
      <c r="O18" s="6">
        <f t="shared" si="4"/>
        <v>0</v>
      </c>
    </row>
    <row r="19" spans="1:17" x14ac:dyDescent="0.25">
      <c r="A19" s="9"/>
      <c r="B19" s="9"/>
      <c r="F19" s="9"/>
      <c r="H19" s="4" t="e">
        <f t="shared" si="0"/>
        <v>#VALUE!</v>
      </c>
      <c r="I19" s="4" t="e">
        <f t="shared" si="1"/>
        <v>#VALUE!</v>
      </c>
      <c r="K19">
        <v>8</v>
      </c>
      <c r="L19">
        <f>VLOOKUP(K19,Regolamento!A:B,2,1)</f>
        <v>33</v>
      </c>
      <c r="M19" s="4">
        <f t="shared" si="2"/>
        <v>1</v>
      </c>
      <c r="N19" s="4">
        <f t="shared" si="3"/>
        <v>1</v>
      </c>
      <c r="O19" s="6">
        <f t="shared" si="4"/>
        <v>0</v>
      </c>
    </row>
    <row r="20" spans="1:17" x14ac:dyDescent="0.25">
      <c r="H20" s="4" t="e">
        <f t="shared" si="0"/>
        <v>#VALUE!</v>
      </c>
      <c r="I20" s="4" t="e">
        <f t="shared" si="1"/>
        <v>#VALUE!</v>
      </c>
      <c r="K20">
        <v>9</v>
      </c>
      <c r="L20">
        <f>VLOOKUP(K20,Regolamento!A:B,2,1)</f>
        <v>32</v>
      </c>
      <c r="M20" s="4">
        <f t="shared" si="2"/>
        <v>1</v>
      </c>
      <c r="N20" s="4">
        <f t="shared" si="3"/>
        <v>1</v>
      </c>
      <c r="O20" s="6">
        <f t="shared" si="4"/>
        <v>0</v>
      </c>
    </row>
    <row r="21" spans="1:17" x14ac:dyDescent="0.25">
      <c r="H21" s="4" t="e">
        <f t="shared" si="0"/>
        <v>#VALUE!</v>
      </c>
      <c r="I21" s="4" t="e">
        <f t="shared" si="1"/>
        <v>#VALUE!</v>
      </c>
      <c r="K21">
        <v>10</v>
      </c>
      <c r="L21">
        <f>VLOOKUP(K21,Regolamento!A:B,2,1)</f>
        <v>31</v>
      </c>
      <c r="M21" s="4">
        <f t="shared" si="2"/>
        <v>1</v>
      </c>
      <c r="N21" s="4">
        <f t="shared" si="3"/>
        <v>1</v>
      </c>
      <c r="O21" s="6">
        <f t="shared" si="4"/>
        <v>0</v>
      </c>
    </row>
    <row r="22" spans="1:17" x14ac:dyDescent="0.25">
      <c r="H22" s="4" t="e">
        <f t="shared" si="0"/>
        <v>#VALUE!</v>
      </c>
      <c r="I22" s="4" t="e">
        <f t="shared" si="1"/>
        <v>#VALUE!</v>
      </c>
      <c r="K22">
        <v>11</v>
      </c>
      <c r="L22">
        <f>VLOOKUP(K22,Regolamento!A:B,2,1)</f>
        <v>30</v>
      </c>
      <c r="M22" s="4">
        <f t="shared" si="2"/>
        <v>1</v>
      </c>
      <c r="N22" s="4">
        <f t="shared" si="3"/>
        <v>1</v>
      </c>
      <c r="O22" s="6">
        <f t="shared" si="4"/>
        <v>0</v>
      </c>
    </row>
    <row r="23" spans="1:17" x14ac:dyDescent="0.25">
      <c r="H23" s="4" t="e">
        <f t="shared" si="0"/>
        <v>#VALUE!</v>
      </c>
      <c r="I23" s="4" t="e">
        <f t="shared" si="1"/>
        <v>#VALUE!</v>
      </c>
      <c r="K23">
        <v>12</v>
      </c>
      <c r="L23">
        <f>VLOOKUP(K23,Regolamento!A:B,2,1)</f>
        <v>29</v>
      </c>
      <c r="M23" s="4">
        <f t="shared" si="2"/>
        <v>1</v>
      </c>
      <c r="N23" s="4">
        <f t="shared" si="3"/>
        <v>1</v>
      </c>
      <c r="O23" s="6">
        <f t="shared" si="4"/>
        <v>0</v>
      </c>
    </row>
    <row r="24" spans="1:17" x14ac:dyDescent="0.25">
      <c r="H24" s="4" t="e">
        <f t="shared" si="0"/>
        <v>#VALUE!</v>
      </c>
      <c r="I24" s="4" t="e">
        <f t="shared" si="1"/>
        <v>#VALUE!</v>
      </c>
      <c r="K24">
        <v>13</v>
      </c>
      <c r="L24">
        <f>VLOOKUP(K24,Regolamento!A:B,2,1)</f>
        <v>28</v>
      </c>
      <c r="M24" s="4">
        <f t="shared" si="2"/>
        <v>1</v>
      </c>
      <c r="N24" s="4">
        <f t="shared" si="3"/>
        <v>1</v>
      </c>
      <c r="O24" s="6">
        <f t="shared" si="4"/>
        <v>0</v>
      </c>
    </row>
    <row r="25" spans="1:17" x14ac:dyDescent="0.25">
      <c r="H25" s="4" t="e">
        <f t="shared" si="0"/>
        <v>#VALUE!</v>
      </c>
      <c r="I25" s="4" t="e">
        <f t="shared" si="1"/>
        <v>#VALUE!</v>
      </c>
      <c r="K25">
        <v>14</v>
      </c>
      <c r="L25">
        <f>VLOOKUP(K25,Regolamento!A:B,2,1)</f>
        <v>27</v>
      </c>
      <c r="M25" s="4">
        <f t="shared" si="2"/>
        <v>1</v>
      </c>
      <c r="N25" s="4">
        <f t="shared" si="3"/>
        <v>1</v>
      </c>
      <c r="O25" s="6">
        <f t="shared" si="4"/>
        <v>0</v>
      </c>
    </row>
    <row r="26" spans="1:17" x14ac:dyDescent="0.25">
      <c r="H26" s="4" t="e">
        <f t="shared" si="0"/>
        <v>#VALUE!</v>
      </c>
      <c r="I26" s="4" t="e">
        <f t="shared" si="1"/>
        <v>#VALUE!</v>
      </c>
      <c r="K26">
        <v>15</v>
      </c>
      <c r="L26">
        <f>VLOOKUP(K26,Regolamento!A:B,2,1)</f>
        <v>26</v>
      </c>
      <c r="M26" s="4">
        <f t="shared" si="2"/>
        <v>1</v>
      </c>
      <c r="N26" s="4">
        <f t="shared" si="3"/>
        <v>1</v>
      </c>
      <c r="O26" s="6">
        <f t="shared" si="4"/>
        <v>0</v>
      </c>
    </row>
    <row r="27" spans="1:17" x14ac:dyDescent="0.25">
      <c r="H27" s="4" t="e">
        <f t="shared" si="0"/>
        <v>#VALUE!</v>
      </c>
      <c r="I27" s="4" t="e">
        <f t="shared" si="1"/>
        <v>#VALUE!</v>
      </c>
      <c r="K27">
        <v>16</v>
      </c>
      <c r="L27">
        <f>VLOOKUP(K27,Regolamento!A:B,2,1)</f>
        <v>25</v>
      </c>
      <c r="M27" s="4">
        <f t="shared" si="2"/>
        <v>1</v>
      </c>
      <c r="N27" s="4">
        <f t="shared" si="3"/>
        <v>1</v>
      </c>
      <c r="O27" s="6">
        <f t="shared" si="4"/>
        <v>0</v>
      </c>
    </row>
    <row r="28" spans="1:17" x14ac:dyDescent="0.25">
      <c r="H28" s="4" t="e">
        <f t="shared" si="0"/>
        <v>#VALUE!</v>
      </c>
      <c r="I28" s="4" t="e">
        <f t="shared" si="1"/>
        <v>#VALUE!</v>
      </c>
      <c r="K28">
        <v>17</v>
      </c>
      <c r="L28">
        <f>VLOOKUP(K28,Regolamento!A:B,2,1)</f>
        <v>24</v>
      </c>
      <c r="M28" s="4">
        <f t="shared" si="2"/>
        <v>1</v>
      </c>
      <c r="N28" s="4">
        <f t="shared" si="3"/>
        <v>1</v>
      </c>
      <c r="O28" s="6">
        <f t="shared" si="4"/>
        <v>0</v>
      </c>
    </row>
    <row r="29" spans="1:17" x14ac:dyDescent="0.25">
      <c r="H29" s="4" t="e">
        <f t="shared" si="0"/>
        <v>#VALUE!</v>
      </c>
      <c r="I29" s="4" t="e">
        <f t="shared" si="1"/>
        <v>#VALUE!</v>
      </c>
      <c r="K29">
        <v>18</v>
      </c>
      <c r="L29">
        <f>VLOOKUP(K29,Regolamento!A:B,2,1)</f>
        <v>23</v>
      </c>
      <c r="M29" s="4">
        <f t="shared" si="2"/>
        <v>1</v>
      </c>
      <c r="N29" s="4">
        <f t="shared" si="3"/>
        <v>1</v>
      </c>
      <c r="O29" s="6">
        <f t="shared" si="4"/>
        <v>0</v>
      </c>
      <c r="Q29" t="s">
        <v>7</v>
      </c>
    </row>
    <row r="30" spans="1:17" x14ac:dyDescent="0.25">
      <c r="A30" s="8"/>
      <c r="B30" s="8"/>
      <c r="F30" s="8"/>
      <c r="H30" s="4" t="e">
        <f t="shared" si="0"/>
        <v>#VALUE!</v>
      </c>
      <c r="I30" s="4" t="e">
        <f t="shared" si="1"/>
        <v>#VALUE!</v>
      </c>
      <c r="K30">
        <v>19</v>
      </c>
      <c r="L30">
        <f>VLOOKUP(K30,Regolamento!A:B,2,1)</f>
        <v>22</v>
      </c>
      <c r="M30" s="4">
        <f t="shared" si="2"/>
        <v>1</v>
      </c>
      <c r="N30" s="4">
        <f t="shared" si="3"/>
        <v>1</v>
      </c>
      <c r="O30" s="6">
        <f t="shared" si="4"/>
        <v>0</v>
      </c>
    </row>
    <row r="31" spans="1:17" x14ac:dyDescent="0.25">
      <c r="H31" s="4" t="e">
        <f t="shared" si="0"/>
        <v>#VALUE!</v>
      </c>
      <c r="I31" s="4" t="e">
        <f t="shared" si="1"/>
        <v>#VALUE!</v>
      </c>
      <c r="K31">
        <v>20</v>
      </c>
      <c r="L31">
        <f>VLOOKUP(K31,Regolamento!A:B,2,1)</f>
        <v>21</v>
      </c>
      <c r="M31" s="4">
        <f t="shared" si="2"/>
        <v>1</v>
      </c>
      <c r="N31" s="4">
        <f t="shared" si="3"/>
        <v>1</v>
      </c>
      <c r="O31" s="6">
        <f t="shared" si="4"/>
        <v>0</v>
      </c>
    </row>
    <row r="32" spans="1:17" x14ac:dyDescent="0.25">
      <c r="A32" s="8"/>
      <c r="B32" s="8"/>
      <c r="F32" s="8"/>
      <c r="H32" s="4" t="e">
        <f t="shared" si="0"/>
        <v>#VALUE!</v>
      </c>
      <c r="I32" s="4" t="e">
        <f t="shared" si="1"/>
        <v>#VALUE!</v>
      </c>
      <c r="K32">
        <v>21</v>
      </c>
      <c r="L32">
        <f>VLOOKUP(K32,Regolamento!A:B,2,1)</f>
        <v>20</v>
      </c>
      <c r="M32" s="4">
        <f t="shared" si="2"/>
        <v>1</v>
      </c>
      <c r="N32" s="4">
        <f t="shared" si="3"/>
        <v>1</v>
      </c>
      <c r="O32" s="6">
        <f t="shared" si="4"/>
        <v>0</v>
      </c>
    </row>
    <row r="33" spans="1:15" x14ac:dyDescent="0.25">
      <c r="H33" s="4" t="e">
        <f t="shared" si="0"/>
        <v>#VALUE!</v>
      </c>
      <c r="I33" s="4" t="e">
        <f t="shared" si="1"/>
        <v>#VALUE!</v>
      </c>
      <c r="K33">
        <v>22</v>
      </c>
      <c r="L33">
        <f>VLOOKUP(K33,Regolamento!A:B,2,1)</f>
        <v>19</v>
      </c>
      <c r="M33" s="4">
        <f t="shared" si="2"/>
        <v>1</v>
      </c>
      <c r="N33" s="4">
        <f t="shared" si="3"/>
        <v>1</v>
      </c>
      <c r="O33" s="6">
        <f t="shared" si="4"/>
        <v>0</v>
      </c>
    </row>
    <row r="34" spans="1:15" x14ac:dyDescent="0.25">
      <c r="H34" s="4" t="e">
        <f t="shared" si="0"/>
        <v>#VALUE!</v>
      </c>
      <c r="I34" s="4" t="e">
        <f t="shared" si="1"/>
        <v>#VALUE!</v>
      </c>
      <c r="K34">
        <v>23</v>
      </c>
      <c r="L34">
        <f>VLOOKUP(K34,Regolamento!A:B,2,1)</f>
        <v>18</v>
      </c>
      <c r="M34" s="4">
        <f t="shared" si="2"/>
        <v>1</v>
      </c>
      <c r="N34" s="4">
        <f t="shared" si="3"/>
        <v>1</v>
      </c>
      <c r="O34" s="6">
        <f t="shared" si="4"/>
        <v>0</v>
      </c>
    </row>
    <row r="35" spans="1:15" x14ac:dyDescent="0.25">
      <c r="H35" s="4" t="e">
        <f t="shared" si="0"/>
        <v>#VALUE!</v>
      </c>
      <c r="I35" s="4" t="e">
        <f t="shared" si="1"/>
        <v>#VALUE!</v>
      </c>
      <c r="K35">
        <v>24</v>
      </c>
      <c r="L35">
        <f>VLOOKUP(K35,Regolamento!A:B,2,1)</f>
        <v>17</v>
      </c>
      <c r="M35" s="4">
        <f t="shared" si="2"/>
        <v>1</v>
      </c>
      <c r="N35" s="4">
        <f t="shared" si="3"/>
        <v>1</v>
      </c>
      <c r="O35" s="6">
        <f t="shared" si="4"/>
        <v>0</v>
      </c>
    </row>
    <row r="36" spans="1:15" x14ac:dyDescent="0.25">
      <c r="H36" s="4" t="e">
        <f t="shared" si="0"/>
        <v>#VALUE!</v>
      </c>
      <c r="I36" s="4" t="e">
        <f t="shared" si="1"/>
        <v>#VALUE!</v>
      </c>
      <c r="K36">
        <v>25</v>
      </c>
      <c r="L36">
        <f>VLOOKUP(K36,Regolamento!A:B,2,1)</f>
        <v>16</v>
      </c>
      <c r="M36" s="4">
        <f t="shared" si="2"/>
        <v>1</v>
      </c>
      <c r="N36" s="4">
        <f t="shared" si="3"/>
        <v>1</v>
      </c>
      <c r="O36" s="6">
        <f t="shared" si="4"/>
        <v>0</v>
      </c>
    </row>
    <row r="37" spans="1:15" x14ac:dyDescent="0.25">
      <c r="H37" s="4" t="e">
        <f t="shared" si="0"/>
        <v>#VALUE!</v>
      </c>
      <c r="I37" s="4" t="e">
        <f t="shared" si="1"/>
        <v>#VALUE!</v>
      </c>
      <c r="K37">
        <v>26</v>
      </c>
      <c r="L37">
        <f>VLOOKUP(K37,Regolamento!A:B,2,1)</f>
        <v>15</v>
      </c>
      <c r="M37" s="4">
        <f t="shared" si="2"/>
        <v>1</v>
      </c>
      <c r="N37" s="4">
        <f t="shared" si="3"/>
        <v>1</v>
      </c>
      <c r="O37" s="6">
        <f t="shared" si="4"/>
        <v>0</v>
      </c>
    </row>
    <row r="38" spans="1:15" x14ac:dyDescent="0.25">
      <c r="A38" s="9"/>
      <c r="B38" s="9"/>
      <c r="F38" s="9"/>
      <c r="H38" s="4" t="e">
        <f t="shared" si="0"/>
        <v>#VALUE!</v>
      </c>
      <c r="I38" s="4" t="e">
        <f t="shared" si="1"/>
        <v>#VALUE!</v>
      </c>
      <c r="K38">
        <v>27</v>
      </c>
      <c r="L38">
        <f>VLOOKUP(K38,Regolamento!A:B,2,1)</f>
        <v>14</v>
      </c>
      <c r="M38" s="4">
        <f t="shared" si="2"/>
        <v>1</v>
      </c>
      <c r="N38" s="4">
        <f t="shared" si="3"/>
        <v>1</v>
      </c>
      <c r="O38" s="6">
        <f t="shared" si="4"/>
        <v>0</v>
      </c>
    </row>
    <row r="39" spans="1:15" x14ac:dyDescent="0.25">
      <c r="H39" s="4" t="e">
        <f t="shared" si="0"/>
        <v>#VALUE!</v>
      </c>
      <c r="I39" s="4" t="e">
        <f t="shared" si="1"/>
        <v>#VALUE!</v>
      </c>
      <c r="K39">
        <v>28</v>
      </c>
      <c r="L39">
        <f>VLOOKUP(K39,Regolamento!A:B,2,1)</f>
        <v>13</v>
      </c>
      <c r="M39" s="4">
        <f t="shared" si="2"/>
        <v>1</v>
      </c>
      <c r="N39" s="4">
        <f t="shared" si="3"/>
        <v>1</v>
      </c>
      <c r="O39" s="6">
        <f t="shared" si="4"/>
        <v>0</v>
      </c>
    </row>
    <row r="40" spans="1:15" x14ac:dyDescent="0.25">
      <c r="H40" s="4" t="e">
        <f t="shared" si="0"/>
        <v>#VALUE!</v>
      </c>
      <c r="I40" s="4" t="e">
        <f t="shared" si="1"/>
        <v>#VALUE!</v>
      </c>
      <c r="K40">
        <v>29</v>
      </c>
      <c r="L40">
        <f>VLOOKUP(K40,Regolamento!A:B,2,1)</f>
        <v>12</v>
      </c>
      <c r="M40" s="4">
        <f t="shared" si="2"/>
        <v>1</v>
      </c>
      <c r="N40" s="4">
        <f t="shared" si="3"/>
        <v>1</v>
      </c>
      <c r="O40" s="6">
        <f t="shared" si="4"/>
        <v>0</v>
      </c>
    </row>
    <row r="41" spans="1:15" x14ac:dyDescent="0.25">
      <c r="H41" s="4" t="e">
        <f t="shared" si="0"/>
        <v>#VALUE!</v>
      </c>
      <c r="I41" s="4" t="e">
        <f t="shared" si="1"/>
        <v>#VALUE!</v>
      </c>
      <c r="K41">
        <v>30</v>
      </c>
      <c r="L41">
        <f>VLOOKUP(K41,Regolamento!A:B,2,1)</f>
        <v>11</v>
      </c>
      <c r="M41" s="4">
        <f t="shared" si="2"/>
        <v>1</v>
      </c>
      <c r="N41" s="4">
        <f t="shared" si="3"/>
        <v>1</v>
      </c>
      <c r="O41" s="6">
        <f t="shared" si="4"/>
        <v>0</v>
      </c>
    </row>
    <row r="42" spans="1:15" x14ac:dyDescent="0.25">
      <c r="H42" s="4" t="e">
        <f t="shared" si="0"/>
        <v>#VALUE!</v>
      </c>
      <c r="I42" s="4" t="e">
        <f t="shared" si="1"/>
        <v>#VALUE!</v>
      </c>
      <c r="K42">
        <v>31</v>
      </c>
      <c r="L42">
        <f>VLOOKUP(K42,Regolamento!A:B,2,1)</f>
        <v>10</v>
      </c>
      <c r="M42" s="4">
        <f t="shared" si="2"/>
        <v>1</v>
      </c>
      <c r="N42" s="4">
        <f t="shared" si="3"/>
        <v>1</v>
      </c>
      <c r="O42" s="6">
        <f t="shared" si="4"/>
        <v>0</v>
      </c>
    </row>
    <row r="43" spans="1:15" x14ac:dyDescent="0.25">
      <c r="H43" s="4" t="e">
        <f t="shared" si="0"/>
        <v>#VALUE!</v>
      </c>
      <c r="I43" s="4" t="e">
        <f t="shared" si="1"/>
        <v>#VALUE!</v>
      </c>
      <c r="K43">
        <v>32</v>
      </c>
      <c r="L43">
        <f>VLOOKUP(K43,Regolamento!A:B,2,1)</f>
        <v>9</v>
      </c>
      <c r="M43" s="4">
        <f t="shared" si="2"/>
        <v>1</v>
      </c>
      <c r="N43" s="4">
        <f t="shared" si="3"/>
        <v>1</v>
      </c>
      <c r="O43" s="6">
        <f t="shared" si="4"/>
        <v>0</v>
      </c>
    </row>
    <row r="44" spans="1:15" x14ac:dyDescent="0.25">
      <c r="H44" s="4" t="e">
        <f t="shared" si="0"/>
        <v>#VALUE!</v>
      </c>
      <c r="I44" s="4" t="e">
        <f t="shared" si="1"/>
        <v>#VALUE!</v>
      </c>
      <c r="K44">
        <v>33</v>
      </c>
      <c r="L44">
        <f>VLOOKUP(K44,Regolamento!A:B,2,1)</f>
        <v>8</v>
      </c>
      <c r="M44" s="4">
        <f t="shared" ref="M44:M65" si="5">1+D$5/100</f>
        <v>1</v>
      </c>
      <c r="N44" s="4">
        <f t="shared" ref="N44:N65" si="6">1+D$6/100</f>
        <v>1</v>
      </c>
      <c r="O44" s="6">
        <f t="shared" si="4"/>
        <v>0</v>
      </c>
    </row>
    <row r="45" spans="1:15" x14ac:dyDescent="0.25">
      <c r="H45" s="4" t="e">
        <f t="shared" si="0"/>
        <v>#VALUE!</v>
      </c>
      <c r="I45" s="4" t="e">
        <f t="shared" si="1"/>
        <v>#VALUE!</v>
      </c>
      <c r="K45">
        <v>34</v>
      </c>
      <c r="L45">
        <f>VLOOKUP(K45,Regolamento!A:B,2,1)</f>
        <v>7</v>
      </c>
      <c r="M45" s="4">
        <f t="shared" si="5"/>
        <v>1</v>
      </c>
      <c r="N45" s="4">
        <f t="shared" si="6"/>
        <v>1</v>
      </c>
      <c r="O45" s="6">
        <f t="shared" si="4"/>
        <v>0</v>
      </c>
    </row>
    <row r="46" spans="1:15" x14ac:dyDescent="0.25">
      <c r="H46" s="4" t="e">
        <f t="shared" si="0"/>
        <v>#VALUE!</v>
      </c>
      <c r="I46" s="4" t="e">
        <f t="shared" si="1"/>
        <v>#VALUE!</v>
      </c>
      <c r="K46">
        <v>35</v>
      </c>
      <c r="L46">
        <f>VLOOKUP(K46,Regolamento!A:B,2,1)</f>
        <v>6</v>
      </c>
      <c r="M46" s="4">
        <f t="shared" si="5"/>
        <v>1</v>
      </c>
      <c r="N46" s="4">
        <f t="shared" si="6"/>
        <v>1</v>
      </c>
      <c r="O46" s="6">
        <f t="shared" si="4"/>
        <v>0</v>
      </c>
    </row>
    <row r="47" spans="1:15" x14ac:dyDescent="0.25">
      <c r="H47" s="4" t="e">
        <f t="shared" si="0"/>
        <v>#VALUE!</v>
      </c>
      <c r="I47" s="4" t="e">
        <f t="shared" si="1"/>
        <v>#VALUE!</v>
      </c>
      <c r="K47">
        <v>36</v>
      </c>
      <c r="L47">
        <f>VLOOKUP(K47,Regolamento!A:B,2,1)</f>
        <v>5</v>
      </c>
      <c r="M47" s="4">
        <f t="shared" si="5"/>
        <v>1</v>
      </c>
      <c r="N47" s="4">
        <f t="shared" si="6"/>
        <v>1</v>
      </c>
      <c r="O47" s="6">
        <f t="shared" si="4"/>
        <v>0</v>
      </c>
    </row>
    <row r="48" spans="1:15" x14ac:dyDescent="0.25">
      <c r="H48" s="4" t="e">
        <f t="shared" si="0"/>
        <v>#VALUE!</v>
      </c>
      <c r="I48" s="4" t="e">
        <f t="shared" si="1"/>
        <v>#VALUE!</v>
      </c>
      <c r="K48">
        <v>37</v>
      </c>
      <c r="L48">
        <f>VLOOKUP(K48,Regolamento!A:B,2,1)</f>
        <v>4</v>
      </c>
      <c r="M48" s="4">
        <f t="shared" si="5"/>
        <v>1</v>
      </c>
      <c r="N48" s="4">
        <f t="shared" si="6"/>
        <v>1</v>
      </c>
      <c r="O48" s="6">
        <f t="shared" si="4"/>
        <v>0</v>
      </c>
    </row>
    <row r="49" spans="1:15" x14ac:dyDescent="0.25">
      <c r="H49" s="4" t="e">
        <f t="shared" si="0"/>
        <v>#VALUE!</v>
      </c>
      <c r="I49" s="4" t="e">
        <f t="shared" si="1"/>
        <v>#VALUE!</v>
      </c>
      <c r="K49">
        <v>38</v>
      </c>
      <c r="L49">
        <f>VLOOKUP(K49,Regolamento!A:B,2,1)</f>
        <v>3</v>
      </c>
      <c r="M49" s="4">
        <f t="shared" si="5"/>
        <v>1</v>
      </c>
      <c r="N49" s="4">
        <f t="shared" si="6"/>
        <v>1</v>
      </c>
      <c r="O49" s="6">
        <f t="shared" si="4"/>
        <v>0</v>
      </c>
    </row>
    <row r="50" spans="1:15" x14ac:dyDescent="0.25">
      <c r="H50" s="4" t="e">
        <f t="shared" si="0"/>
        <v>#VALUE!</v>
      </c>
      <c r="I50" s="4" t="e">
        <f t="shared" si="1"/>
        <v>#VALUE!</v>
      </c>
      <c r="K50">
        <v>39</v>
      </c>
      <c r="L50">
        <f>VLOOKUP(K50,Regolamento!A:B,2,1)</f>
        <v>2</v>
      </c>
      <c r="M50" s="4">
        <f t="shared" si="5"/>
        <v>1</v>
      </c>
      <c r="N50" s="4">
        <f t="shared" si="6"/>
        <v>1</v>
      </c>
      <c r="O50" s="6">
        <f t="shared" si="4"/>
        <v>0</v>
      </c>
    </row>
    <row r="51" spans="1:15" x14ac:dyDescent="0.25">
      <c r="H51" s="4" t="e">
        <f t="shared" si="0"/>
        <v>#VALUE!</v>
      </c>
      <c r="I51" s="4" t="e">
        <f t="shared" si="1"/>
        <v>#VALUE!</v>
      </c>
      <c r="K51">
        <v>40</v>
      </c>
      <c r="L51">
        <f>VLOOKUP(K51,Regolamento!A:B,2,1)</f>
        <v>1</v>
      </c>
      <c r="M51" s="4">
        <f t="shared" si="5"/>
        <v>1</v>
      </c>
      <c r="N51" s="4">
        <f t="shared" si="6"/>
        <v>1</v>
      </c>
      <c r="O51" s="6">
        <f t="shared" si="4"/>
        <v>0</v>
      </c>
    </row>
    <row r="52" spans="1:15" x14ac:dyDescent="0.25">
      <c r="A52" s="8"/>
      <c r="B52" s="8"/>
      <c r="F52" s="8"/>
      <c r="H52" s="4" t="e">
        <f t="shared" si="0"/>
        <v>#VALUE!</v>
      </c>
      <c r="I52" s="4" t="e">
        <f t="shared" si="1"/>
        <v>#VALUE!</v>
      </c>
      <c r="K52">
        <v>41</v>
      </c>
      <c r="L52">
        <f>VLOOKUP(K52,Regolamento!A:B,2,1)</f>
        <v>0.5</v>
      </c>
      <c r="M52" s="4">
        <f t="shared" si="5"/>
        <v>1</v>
      </c>
      <c r="N52" s="4">
        <f t="shared" si="6"/>
        <v>1</v>
      </c>
      <c r="O52" s="6">
        <f t="shared" si="4"/>
        <v>0</v>
      </c>
    </row>
    <row r="53" spans="1:15" x14ac:dyDescent="0.25">
      <c r="H53" s="4" t="e">
        <f t="shared" si="0"/>
        <v>#VALUE!</v>
      </c>
      <c r="I53" s="4" t="e">
        <f t="shared" si="1"/>
        <v>#VALUE!</v>
      </c>
      <c r="K53">
        <v>42</v>
      </c>
      <c r="L53">
        <f>VLOOKUP(K53,Regolamento!A:B,2,1)</f>
        <v>0.5</v>
      </c>
      <c r="M53" s="4">
        <f t="shared" si="5"/>
        <v>1</v>
      </c>
      <c r="N53" s="4">
        <f t="shared" si="6"/>
        <v>1</v>
      </c>
      <c r="O53" s="6">
        <f t="shared" si="4"/>
        <v>0</v>
      </c>
    </row>
    <row r="54" spans="1:15" x14ac:dyDescent="0.25">
      <c r="H54" s="4" t="e">
        <f t="shared" si="0"/>
        <v>#VALUE!</v>
      </c>
      <c r="I54" s="4" t="e">
        <f t="shared" si="1"/>
        <v>#VALUE!</v>
      </c>
      <c r="K54">
        <v>43</v>
      </c>
      <c r="L54">
        <f>VLOOKUP(K54,Regolamento!A:B,2,1)</f>
        <v>0.5</v>
      </c>
      <c r="M54" s="4">
        <f t="shared" si="5"/>
        <v>1</v>
      </c>
      <c r="N54" s="4">
        <f t="shared" si="6"/>
        <v>1</v>
      </c>
      <c r="O54" s="6">
        <f t="shared" si="4"/>
        <v>0</v>
      </c>
    </row>
    <row r="55" spans="1:15" x14ac:dyDescent="0.25">
      <c r="H55" s="4" t="e">
        <f t="shared" si="0"/>
        <v>#VALUE!</v>
      </c>
      <c r="I55" s="4" t="e">
        <f t="shared" si="1"/>
        <v>#VALUE!</v>
      </c>
      <c r="K55">
        <v>44</v>
      </c>
      <c r="L55">
        <f>VLOOKUP(K55,Regolamento!A:B,2,1)</f>
        <v>0.5</v>
      </c>
      <c r="M55" s="4">
        <f t="shared" si="5"/>
        <v>1</v>
      </c>
      <c r="N55" s="4">
        <f t="shared" si="6"/>
        <v>1</v>
      </c>
      <c r="O55" s="6">
        <f t="shared" si="4"/>
        <v>0</v>
      </c>
    </row>
    <row r="56" spans="1:15" x14ac:dyDescent="0.25">
      <c r="A56" s="8"/>
      <c r="B56" s="8"/>
      <c r="F56" s="8"/>
      <c r="H56" s="4" t="e">
        <f t="shared" si="0"/>
        <v>#VALUE!</v>
      </c>
      <c r="I56" s="4" t="e">
        <f t="shared" si="1"/>
        <v>#VALUE!</v>
      </c>
      <c r="K56">
        <v>45</v>
      </c>
      <c r="L56">
        <f>VLOOKUP(K56,Regolamento!A:B,2,1)</f>
        <v>0.5</v>
      </c>
      <c r="M56" s="4">
        <f t="shared" si="5"/>
        <v>1</v>
      </c>
      <c r="N56" s="4">
        <f t="shared" si="6"/>
        <v>1</v>
      </c>
      <c r="O56" s="6">
        <f t="shared" si="4"/>
        <v>0</v>
      </c>
    </row>
    <row r="57" spans="1:15" x14ac:dyDescent="0.25">
      <c r="H57" s="4" t="e">
        <f t="shared" si="0"/>
        <v>#VALUE!</v>
      </c>
      <c r="I57" s="4" t="e">
        <f t="shared" si="1"/>
        <v>#VALUE!</v>
      </c>
      <c r="K57">
        <v>46</v>
      </c>
      <c r="L57">
        <f>VLOOKUP(K57,Regolamento!A:B,2,1)</f>
        <v>0.5</v>
      </c>
      <c r="M57" s="4">
        <f t="shared" si="5"/>
        <v>1</v>
      </c>
      <c r="N57" s="4">
        <f t="shared" si="6"/>
        <v>1</v>
      </c>
      <c r="O57" s="6">
        <f t="shared" si="4"/>
        <v>0</v>
      </c>
    </row>
    <row r="58" spans="1:15" x14ac:dyDescent="0.25">
      <c r="H58" s="4" t="e">
        <f t="shared" si="0"/>
        <v>#VALUE!</v>
      </c>
      <c r="I58" s="4" t="e">
        <f t="shared" si="1"/>
        <v>#VALUE!</v>
      </c>
      <c r="K58">
        <v>47</v>
      </c>
      <c r="L58">
        <f>VLOOKUP(K58,Regolamento!A:B,2,1)</f>
        <v>0.5</v>
      </c>
      <c r="M58" s="4">
        <f t="shared" si="5"/>
        <v>1</v>
      </c>
      <c r="N58" s="4">
        <f t="shared" si="6"/>
        <v>1</v>
      </c>
      <c r="O58" s="6">
        <f t="shared" si="4"/>
        <v>0</v>
      </c>
    </row>
    <row r="59" spans="1:15" x14ac:dyDescent="0.25">
      <c r="H59" s="4" t="e">
        <f t="shared" si="0"/>
        <v>#VALUE!</v>
      </c>
      <c r="I59" s="4" t="e">
        <f t="shared" si="1"/>
        <v>#VALUE!</v>
      </c>
      <c r="K59">
        <v>48</v>
      </c>
      <c r="L59">
        <f>VLOOKUP(K59,Regolamento!A:B,2,1)</f>
        <v>0.5</v>
      </c>
      <c r="M59" s="4">
        <f t="shared" si="5"/>
        <v>1</v>
      </c>
      <c r="N59" s="4">
        <f t="shared" si="6"/>
        <v>1</v>
      </c>
      <c r="O59" s="6">
        <f t="shared" si="4"/>
        <v>0</v>
      </c>
    </row>
    <row r="60" spans="1:15" x14ac:dyDescent="0.25">
      <c r="H60" s="4" t="e">
        <f t="shared" si="0"/>
        <v>#VALUE!</v>
      </c>
      <c r="I60" s="4" t="e">
        <f t="shared" si="1"/>
        <v>#VALUE!</v>
      </c>
      <c r="K60">
        <v>49</v>
      </c>
      <c r="L60">
        <f>VLOOKUP(K60,Regolamento!A:B,2,1)</f>
        <v>0.5</v>
      </c>
      <c r="M60" s="4">
        <f t="shared" si="5"/>
        <v>1</v>
      </c>
      <c r="N60" s="4">
        <f t="shared" si="6"/>
        <v>1</v>
      </c>
      <c r="O60" s="6">
        <f t="shared" si="4"/>
        <v>0</v>
      </c>
    </row>
    <row r="61" spans="1:15" x14ac:dyDescent="0.25">
      <c r="A61" s="8"/>
      <c r="B61" s="8"/>
      <c r="F61" s="8"/>
      <c r="H61" s="4" t="e">
        <f t="shared" si="0"/>
        <v>#VALUE!</v>
      </c>
      <c r="I61" s="4" t="e">
        <f t="shared" si="1"/>
        <v>#VALUE!</v>
      </c>
      <c r="K61">
        <v>50</v>
      </c>
      <c r="L61">
        <f>VLOOKUP(K61,Regolamento!A:B,2,1)</f>
        <v>0.5</v>
      </c>
      <c r="M61" s="4">
        <f t="shared" si="5"/>
        <v>1</v>
      </c>
      <c r="N61" s="4">
        <f t="shared" si="6"/>
        <v>1</v>
      </c>
      <c r="O61" s="6">
        <f t="shared" si="4"/>
        <v>0</v>
      </c>
    </row>
    <row r="62" spans="1:15" x14ac:dyDescent="0.25">
      <c r="H62" s="4" t="e">
        <f t="shared" si="0"/>
        <v>#VALUE!</v>
      </c>
      <c r="I62" s="4" t="e">
        <f t="shared" si="1"/>
        <v>#VALUE!</v>
      </c>
      <c r="K62">
        <v>51</v>
      </c>
      <c r="L62">
        <f>VLOOKUP(K62,Regolamento!A:B,2,1)</f>
        <v>0.5</v>
      </c>
      <c r="M62" s="4">
        <f t="shared" si="5"/>
        <v>1</v>
      </c>
      <c r="N62" s="4">
        <f t="shared" si="6"/>
        <v>1</v>
      </c>
      <c r="O62" s="6">
        <f t="shared" si="4"/>
        <v>0</v>
      </c>
    </row>
    <row r="63" spans="1:15" x14ac:dyDescent="0.25">
      <c r="H63" s="4" t="e">
        <f t="shared" si="0"/>
        <v>#VALUE!</v>
      </c>
      <c r="I63" s="4" t="e">
        <f t="shared" si="1"/>
        <v>#VALUE!</v>
      </c>
      <c r="K63">
        <v>52</v>
      </c>
      <c r="L63">
        <f>VLOOKUP(K63,Regolamento!A:B,2,1)</f>
        <v>0.5</v>
      </c>
      <c r="M63" s="4">
        <f t="shared" si="5"/>
        <v>1</v>
      </c>
      <c r="N63" s="4">
        <f t="shared" si="6"/>
        <v>1</v>
      </c>
      <c r="O63" s="6">
        <f t="shared" si="4"/>
        <v>0</v>
      </c>
    </row>
    <row r="64" spans="1:15" x14ac:dyDescent="0.25">
      <c r="H64" s="4" t="e">
        <f t="shared" si="0"/>
        <v>#VALUE!</v>
      </c>
      <c r="I64" s="4" t="e">
        <f t="shared" si="1"/>
        <v>#VALUE!</v>
      </c>
      <c r="K64">
        <v>53</v>
      </c>
      <c r="L64">
        <f>VLOOKUP(K64,Regolamento!A:B,2,1)</f>
        <v>0.5</v>
      </c>
      <c r="M64" s="4">
        <f t="shared" si="5"/>
        <v>1</v>
      </c>
      <c r="N64" s="4">
        <f t="shared" si="6"/>
        <v>1</v>
      </c>
      <c r="O64" s="6">
        <f t="shared" si="4"/>
        <v>0</v>
      </c>
    </row>
    <row r="65" spans="8:15" x14ac:dyDescent="0.25">
      <c r="H65" s="4" t="e">
        <f t="shared" si="0"/>
        <v>#VALUE!</v>
      </c>
      <c r="I65" s="4" t="e">
        <f t="shared" si="1"/>
        <v>#VALUE!</v>
      </c>
      <c r="K65">
        <v>54</v>
      </c>
      <c r="L65">
        <f>VLOOKUP(K65,Regolamento!A:B,2,1)</f>
        <v>0.5</v>
      </c>
      <c r="M65" s="4">
        <f t="shared" si="5"/>
        <v>1</v>
      </c>
      <c r="N65" s="4">
        <f t="shared" si="6"/>
        <v>1</v>
      </c>
      <c r="O65" s="6">
        <f t="shared" si="4"/>
        <v>0</v>
      </c>
    </row>
    <row r="67" spans="8:15" x14ac:dyDescent="0.25">
      <c r="O67" s="10">
        <f>SUM(O12:O66)</f>
        <v>0</v>
      </c>
    </row>
    <row r="68" spans="8:15" x14ac:dyDescent="0.25">
      <c r="O68" s="10">
        <f>+O67-Generale!H3</f>
        <v>0</v>
      </c>
    </row>
  </sheetData>
  <mergeCells count="3">
    <mergeCell ref="G1:O1"/>
    <mergeCell ref="G8:I8"/>
    <mergeCell ref="M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Generale</vt:lpstr>
      <vt:lpstr>Nora Sciplino</vt:lpstr>
      <vt:lpstr>Castellotti</vt:lpstr>
      <vt:lpstr>Solidarietà</vt:lpstr>
      <vt:lpstr>Giro del Lario</vt:lpstr>
      <vt:lpstr>Campo dei Fiori</vt:lpstr>
      <vt:lpstr>Erba Ghisallo</vt:lpstr>
      <vt:lpstr>Ambrosiano</vt:lpstr>
      <vt:lpstr>Presolana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PCbase</cp:lastModifiedBy>
  <dcterms:created xsi:type="dcterms:W3CDTF">2017-06-22T12:54:28Z</dcterms:created>
  <dcterms:modified xsi:type="dcterms:W3CDTF">2023-03-29T08:25:12Z</dcterms:modified>
</cp:coreProperties>
</file>