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ARCHIVI\VCC Como\EVENTI\2023\CHALLEGE INTERCLUB\"/>
    </mc:Choice>
  </mc:AlternateContent>
  <xr:revisionPtr revIDLastSave="0" documentId="13_ncr:1_{BD7961E2-3BCA-4CF7-A6DA-F5CEC75C309D}" xr6:coauthVersionLast="47" xr6:coauthVersionMax="47" xr10:uidLastSave="{00000000-0000-0000-0000-000000000000}"/>
  <workbookProtection workbookAlgorithmName="SHA-512" workbookHashValue="KyZbJD1hl8FVU2joWM9butyEvZOBWYQVPfOA8QRTkJOjhs4+eSeAGsVhIAq7bt+aRCFK90KsKbl6qGi3tiQ9gw==" workbookSaltValue="lgZPdTGuae2vfRKexW0ymw==" workbookSpinCount="100000" lockStructure="1"/>
  <bookViews>
    <workbookView xWindow="-120" yWindow="-120" windowWidth="29040" windowHeight="15840" tabRatio="677" xr2:uid="{E15D90B6-4D32-412D-9266-03974412A6A8}"/>
  </bookViews>
  <sheets>
    <sheet name="Generale" sheetId="6" r:id="rId1"/>
    <sheet name="Nora Sciplino" sheetId="5" r:id="rId2"/>
    <sheet name="Castellotti" sheetId="9" r:id="rId3"/>
    <sheet name="Solidarietà" sheetId="10" r:id="rId4"/>
    <sheet name="Gallarate" sheetId="17" r:id="rId5"/>
    <sheet name="Giro del Lario" sheetId="12" r:id="rId6"/>
    <sheet name="Campo dei Fiori" sheetId="13" r:id="rId7"/>
    <sheet name="Erba Ghisallo" sheetId="14" r:id="rId8"/>
    <sheet name="Ambrosiano" sheetId="15" r:id="rId9"/>
    <sheet name="Presolana" sheetId="16" r:id="rId10"/>
    <sheet name="concorrenti" sheetId="7" state="hidden" r:id="rId11"/>
    <sheet name="Regolamento" sheetId="3" state="hidden" r:id="rId12"/>
  </sheets>
  <definedNames>
    <definedName name="_xlnm._FilterDatabase" localSheetId="8" hidden="1">Ambrosiano!$A$11:$V$39</definedName>
    <definedName name="_xlnm._FilterDatabase" localSheetId="6" hidden="1">'Campo dei Fiori'!$A$11:$V$41</definedName>
    <definedName name="_xlnm._FilterDatabase" localSheetId="2" hidden="1">Castellotti!$A$11:$V$67</definedName>
    <definedName name="_xlnm._FilterDatabase" localSheetId="10" hidden="1">concorrenti!$A$1:$K$189</definedName>
    <definedName name="_xlnm._FilterDatabase" localSheetId="7" hidden="1">'Erba Ghisallo'!$A$11:$V$69</definedName>
    <definedName name="_xlnm._FilterDatabase" localSheetId="4" hidden="1">Gallarate!$A$12:$J$65</definedName>
    <definedName name="_xlnm._FilterDatabase" localSheetId="0" hidden="1">Generale!$A$5:$Z$195</definedName>
    <definedName name="_xlnm._FilterDatabase" localSheetId="5" hidden="1">'Giro del Lario'!$A$11:$T$33</definedName>
    <definedName name="_xlnm._FilterDatabase" localSheetId="1" hidden="1">'Nora Sciplino'!$A$11:$V$68</definedName>
    <definedName name="_xlnm._FilterDatabase" localSheetId="9" hidden="1">Presolana!$A$11:$V$52</definedName>
    <definedName name="_xlnm._FilterDatabase" localSheetId="3" hidden="1">Solidarietà!$A$11:$V$45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03" i="6" l="1"/>
  <c r="R12" i="15"/>
  <c r="P12" i="5"/>
  <c r="Q204" i="6"/>
  <c r="Q202" i="6"/>
  <c r="Q206" i="6"/>
  <c r="Q208" i="6"/>
  <c r="Q207" i="6"/>
  <c r="Q209" i="6"/>
  <c r="R13" i="16"/>
  <c r="R14" i="16"/>
  <c r="R15" i="16"/>
  <c r="R16" i="16"/>
  <c r="R17" i="16"/>
  <c r="R18" i="16"/>
  <c r="R19" i="16"/>
  <c r="R20" i="16"/>
  <c r="R21" i="16"/>
  <c r="R22" i="16"/>
  <c r="R23" i="16"/>
  <c r="R24" i="16"/>
  <c r="R25" i="16"/>
  <c r="R26" i="16"/>
  <c r="R27" i="16"/>
  <c r="R28" i="16"/>
  <c r="R29" i="16"/>
  <c r="R30" i="16"/>
  <c r="R31" i="16"/>
  <c r="R32" i="16"/>
  <c r="R33" i="16"/>
  <c r="R34" i="16"/>
  <c r="R35" i="16"/>
  <c r="R36" i="16"/>
  <c r="R37" i="16"/>
  <c r="R38" i="16"/>
  <c r="R39" i="16"/>
  <c r="R40" i="16"/>
  <c r="R41" i="16"/>
  <c r="R42" i="16"/>
  <c r="R43" i="16"/>
  <c r="R44" i="16"/>
  <c r="R45" i="16"/>
  <c r="R46" i="16"/>
  <c r="R47" i="16"/>
  <c r="R48" i="16"/>
  <c r="R49" i="16"/>
  <c r="R50" i="16"/>
  <c r="R51" i="16"/>
  <c r="R52" i="16"/>
  <c r="R12" i="16"/>
  <c r="C60" i="6"/>
  <c r="D60" i="6"/>
  <c r="E60" i="6"/>
  <c r="F60" i="6"/>
  <c r="G60" i="6"/>
  <c r="H60" i="6"/>
  <c r="I60" i="6"/>
  <c r="J60" i="6"/>
  <c r="K60" i="6"/>
  <c r="L60" i="6"/>
  <c r="M60" i="6"/>
  <c r="N60" i="6"/>
  <c r="G69" i="6"/>
  <c r="H69" i="6"/>
  <c r="I69" i="6"/>
  <c r="J69" i="6"/>
  <c r="K69" i="6"/>
  <c r="L69" i="6"/>
  <c r="M69" i="6"/>
  <c r="N69" i="6"/>
  <c r="C69" i="6"/>
  <c r="D69" i="6"/>
  <c r="E69" i="6"/>
  <c r="F69" i="6"/>
  <c r="C12" i="16"/>
  <c r="C13" i="16"/>
  <c r="I13" i="16" s="1"/>
  <c r="C14" i="16"/>
  <c r="I14" i="16" s="1"/>
  <c r="C16" i="16"/>
  <c r="C15" i="16"/>
  <c r="I15" i="16" s="1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5" i="16"/>
  <c r="C46" i="16"/>
  <c r="C47" i="16"/>
  <c r="C48" i="16"/>
  <c r="C49" i="16"/>
  <c r="C50" i="16"/>
  <c r="C51" i="16"/>
  <c r="C52" i="16"/>
  <c r="C44" i="16"/>
  <c r="O19" i="6"/>
  <c r="O20" i="6"/>
  <c r="O21" i="6"/>
  <c r="O22" i="6"/>
  <c r="O23" i="6"/>
  <c r="O27" i="6"/>
  <c r="O32" i="6"/>
  <c r="O33" i="6"/>
  <c r="O34" i="6"/>
  <c r="O36" i="6"/>
  <c r="O39" i="6"/>
  <c r="O42" i="6"/>
  <c r="O43" i="6"/>
  <c r="O45" i="6"/>
  <c r="O49" i="6"/>
  <c r="O50" i="6"/>
  <c r="O51" i="6"/>
  <c r="O52" i="6"/>
  <c r="O57" i="6"/>
  <c r="O54" i="6"/>
  <c r="O48" i="6"/>
  <c r="O56" i="6"/>
  <c r="O58" i="6"/>
  <c r="O53" i="6"/>
  <c r="O63" i="6"/>
  <c r="O61" i="6"/>
  <c r="O62" i="6"/>
  <c r="O64" i="6"/>
  <c r="O55" i="6"/>
  <c r="O65" i="6"/>
  <c r="O66" i="6"/>
  <c r="O68" i="6"/>
  <c r="O70" i="6"/>
  <c r="O78" i="6"/>
  <c r="O71" i="6"/>
  <c r="O72" i="6"/>
  <c r="O73" i="6"/>
  <c r="O74" i="6"/>
  <c r="O75" i="6"/>
  <c r="O76" i="6"/>
  <c r="O77" i="6"/>
  <c r="O79" i="6"/>
  <c r="O80" i="6"/>
  <c r="O81" i="6"/>
  <c r="O82" i="6"/>
  <c r="O83" i="6"/>
  <c r="O84" i="6"/>
  <c r="O85" i="6"/>
  <c r="O86" i="6"/>
  <c r="O87" i="6"/>
  <c r="O88" i="6"/>
  <c r="O89" i="6"/>
  <c r="O90" i="6"/>
  <c r="O91" i="6"/>
  <c r="O92" i="6"/>
  <c r="O93" i="6"/>
  <c r="O94" i="6"/>
  <c r="O95" i="6"/>
  <c r="O96" i="6"/>
  <c r="O97" i="6"/>
  <c r="O98" i="6"/>
  <c r="O99" i="6"/>
  <c r="O100" i="6"/>
  <c r="O101" i="6"/>
  <c r="O102" i="6"/>
  <c r="O103" i="6"/>
  <c r="O104" i="6"/>
  <c r="O105" i="6"/>
  <c r="O109" i="6"/>
  <c r="O106" i="6"/>
  <c r="O115" i="6"/>
  <c r="O108" i="6"/>
  <c r="O110" i="6"/>
  <c r="O111" i="6"/>
  <c r="O112" i="6"/>
  <c r="O114" i="6"/>
  <c r="O116" i="6"/>
  <c r="O117" i="6"/>
  <c r="O118" i="6"/>
  <c r="O119" i="6"/>
  <c r="O113" i="6"/>
  <c r="O120" i="6"/>
  <c r="O121" i="6"/>
  <c r="O122" i="6"/>
  <c r="O125" i="6"/>
  <c r="O126" i="6"/>
  <c r="O127" i="6"/>
  <c r="O128" i="6"/>
  <c r="O130" i="6"/>
  <c r="O137" i="6"/>
  <c r="O132" i="6"/>
  <c r="O133" i="6"/>
  <c r="O134" i="6"/>
  <c r="O136" i="6"/>
  <c r="O139" i="6"/>
  <c r="O140" i="6"/>
  <c r="O141" i="6"/>
  <c r="O142" i="6"/>
  <c r="O143" i="6"/>
  <c r="O144" i="6"/>
  <c r="O145" i="6"/>
  <c r="O174" i="6"/>
  <c r="O147" i="6"/>
  <c r="O148" i="6"/>
  <c r="O149" i="6"/>
  <c r="O150" i="6"/>
  <c r="O152" i="6"/>
  <c r="O153" i="6"/>
  <c r="O175" i="6"/>
  <c r="O155" i="6"/>
  <c r="O156" i="6"/>
  <c r="O157" i="6"/>
  <c r="O158" i="6"/>
  <c r="O159" i="6"/>
  <c r="O160" i="6"/>
  <c r="O161" i="6"/>
  <c r="O162" i="6"/>
  <c r="O163" i="6"/>
  <c r="O164" i="6"/>
  <c r="O165" i="6"/>
  <c r="O166" i="6"/>
  <c r="O167" i="6"/>
  <c r="O168" i="6"/>
  <c r="O169" i="6"/>
  <c r="O170" i="6"/>
  <c r="O171" i="6"/>
  <c r="O172" i="6"/>
  <c r="O176" i="6"/>
  <c r="O177" i="6"/>
  <c r="O178" i="6"/>
  <c r="O179" i="6"/>
  <c r="O180" i="6"/>
  <c r="O181" i="6"/>
  <c r="O182" i="6"/>
  <c r="O154" i="6"/>
  <c r="O183" i="6"/>
  <c r="O184" i="6"/>
  <c r="O185" i="6"/>
  <c r="O186" i="6"/>
  <c r="O187" i="6"/>
  <c r="O188" i="6"/>
  <c r="O189" i="6"/>
  <c r="O190" i="6"/>
  <c r="O191" i="6"/>
  <c r="O192" i="6"/>
  <c r="O193" i="6"/>
  <c r="O194" i="6"/>
  <c r="O195" i="6"/>
  <c r="O8" i="6"/>
  <c r="G107" i="6"/>
  <c r="H107" i="6"/>
  <c r="I107" i="6"/>
  <c r="J107" i="6"/>
  <c r="K107" i="6"/>
  <c r="L107" i="6"/>
  <c r="M107" i="6"/>
  <c r="N107" i="6"/>
  <c r="G123" i="6"/>
  <c r="H123" i="6"/>
  <c r="I123" i="6"/>
  <c r="J123" i="6"/>
  <c r="K123" i="6"/>
  <c r="L123" i="6"/>
  <c r="M123" i="6"/>
  <c r="N123" i="6"/>
  <c r="G135" i="6"/>
  <c r="H135" i="6"/>
  <c r="I135" i="6"/>
  <c r="J135" i="6"/>
  <c r="K135" i="6"/>
  <c r="L135" i="6"/>
  <c r="M135" i="6"/>
  <c r="N135" i="6"/>
  <c r="G131" i="6"/>
  <c r="H131" i="6"/>
  <c r="I131" i="6"/>
  <c r="J131" i="6"/>
  <c r="K131" i="6"/>
  <c r="L131" i="6"/>
  <c r="M131" i="6"/>
  <c r="N131" i="6"/>
  <c r="G129" i="6"/>
  <c r="H129" i="6"/>
  <c r="I129" i="6"/>
  <c r="J129" i="6"/>
  <c r="K129" i="6"/>
  <c r="L129" i="6"/>
  <c r="M129" i="6"/>
  <c r="N129" i="6"/>
  <c r="G138" i="6"/>
  <c r="H138" i="6"/>
  <c r="I138" i="6"/>
  <c r="J138" i="6"/>
  <c r="K138" i="6"/>
  <c r="L138" i="6"/>
  <c r="M138" i="6"/>
  <c r="N138" i="6"/>
  <c r="G146" i="6"/>
  <c r="H146" i="6"/>
  <c r="I146" i="6"/>
  <c r="J146" i="6"/>
  <c r="K146" i="6"/>
  <c r="L146" i="6"/>
  <c r="M146" i="6"/>
  <c r="N146" i="6"/>
  <c r="G151" i="6"/>
  <c r="H151" i="6"/>
  <c r="I151" i="6"/>
  <c r="J151" i="6"/>
  <c r="K151" i="6"/>
  <c r="L151" i="6"/>
  <c r="M151" i="6"/>
  <c r="N151" i="6"/>
  <c r="G173" i="6"/>
  <c r="H173" i="6"/>
  <c r="I173" i="6"/>
  <c r="J173" i="6"/>
  <c r="K173" i="6"/>
  <c r="L173" i="6"/>
  <c r="M173" i="6"/>
  <c r="N173" i="6"/>
  <c r="C107" i="6"/>
  <c r="D107" i="6"/>
  <c r="E107" i="6"/>
  <c r="F107" i="6"/>
  <c r="C123" i="6"/>
  <c r="D123" i="6"/>
  <c r="E123" i="6"/>
  <c r="F123" i="6"/>
  <c r="C135" i="6"/>
  <c r="D135" i="6"/>
  <c r="E135" i="6"/>
  <c r="F135" i="6"/>
  <c r="C131" i="6"/>
  <c r="D131" i="6"/>
  <c r="E131" i="6"/>
  <c r="F131" i="6"/>
  <c r="C129" i="6"/>
  <c r="D129" i="6"/>
  <c r="E129" i="6"/>
  <c r="F129" i="6"/>
  <c r="C138" i="6"/>
  <c r="D138" i="6"/>
  <c r="E138" i="6"/>
  <c r="F138" i="6"/>
  <c r="C146" i="6"/>
  <c r="D146" i="6"/>
  <c r="E146" i="6"/>
  <c r="F146" i="6"/>
  <c r="C151" i="6"/>
  <c r="D151" i="6"/>
  <c r="E151" i="6"/>
  <c r="F151" i="6"/>
  <c r="C173" i="6"/>
  <c r="D173" i="6"/>
  <c r="E173" i="6"/>
  <c r="F173" i="6"/>
  <c r="B14" i="16"/>
  <c r="B16" i="16"/>
  <c r="B12" i="16"/>
  <c r="B15" i="16"/>
  <c r="B17" i="16"/>
  <c r="B18" i="16"/>
  <c r="B20" i="16"/>
  <c r="B19" i="16"/>
  <c r="B21" i="16"/>
  <c r="B23" i="16"/>
  <c r="B24" i="16"/>
  <c r="B22" i="16"/>
  <c r="B26" i="16"/>
  <c r="B27" i="16"/>
  <c r="B29" i="16"/>
  <c r="B25" i="16"/>
  <c r="B30" i="16"/>
  <c r="B28" i="16"/>
  <c r="B31" i="16"/>
  <c r="B32" i="16"/>
  <c r="B34" i="16"/>
  <c r="B33" i="16"/>
  <c r="B35" i="16"/>
  <c r="B38" i="16"/>
  <c r="B36" i="16"/>
  <c r="B39" i="16"/>
  <c r="B40" i="16"/>
  <c r="B37" i="16"/>
  <c r="B42" i="16"/>
  <c r="B41" i="16"/>
  <c r="B45" i="16"/>
  <c r="B44" i="16"/>
  <c r="B43" i="16"/>
  <c r="B47" i="16"/>
  <c r="B46" i="16"/>
  <c r="B48" i="16"/>
  <c r="B49" i="16"/>
  <c r="B50" i="16"/>
  <c r="B51" i="16"/>
  <c r="B52" i="16"/>
  <c r="B13" i="16"/>
  <c r="P72" i="5"/>
  <c r="M15" i="9"/>
  <c r="P15" i="9" s="1"/>
  <c r="C7" i="6" l="1"/>
  <c r="D7" i="6"/>
  <c r="E7" i="6"/>
  <c r="F7" i="6"/>
  <c r="G7" i="6"/>
  <c r="L7" i="6"/>
  <c r="C15" i="6"/>
  <c r="D15" i="6"/>
  <c r="E15" i="6"/>
  <c r="F15" i="6"/>
  <c r="G15" i="6"/>
  <c r="I15" i="6"/>
  <c r="L15" i="6"/>
  <c r="M15" i="6"/>
  <c r="C34" i="6"/>
  <c r="D34" i="6"/>
  <c r="E34" i="6"/>
  <c r="F34" i="6"/>
  <c r="H34" i="6"/>
  <c r="I34" i="6"/>
  <c r="K34" i="6"/>
  <c r="M34" i="6"/>
  <c r="N34" i="6"/>
  <c r="C42" i="6"/>
  <c r="D42" i="6"/>
  <c r="E42" i="6"/>
  <c r="F42" i="6"/>
  <c r="G42" i="6"/>
  <c r="I42" i="6"/>
  <c r="L42" i="6"/>
  <c r="N42" i="6"/>
  <c r="C45" i="6"/>
  <c r="D45" i="6"/>
  <c r="E45" i="6"/>
  <c r="F45" i="6"/>
  <c r="G45" i="6"/>
  <c r="I45" i="6"/>
  <c r="K45" i="6"/>
  <c r="L45" i="6"/>
  <c r="M45" i="6"/>
  <c r="C38" i="6"/>
  <c r="D38" i="6"/>
  <c r="E38" i="6"/>
  <c r="F38" i="6"/>
  <c r="G38" i="6"/>
  <c r="H38" i="6"/>
  <c r="K38" i="6"/>
  <c r="L38" i="6"/>
  <c r="M38" i="6"/>
  <c r="N38" i="6"/>
  <c r="C92" i="6"/>
  <c r="D92" i="6"/>
  <c r="E92" i="6"/>
  <c r="F92" i="6"/>
  <c r="G92" i="6"/>
  <c r="H92" i="6"/>
  <c r="I92" i="6"/>
  <c r="K92" i="6"/>
  <c r="M92" i="6"/>
  <c r="N92" i="6"/>
  <c r="C137" i="6"/>
  <c r="D137" i="6"/>
  <c r="E137" i="6"/>
  <c r="F137" i="6"/>
  <c r="G137" i="6"/>
  <c r="H137" i="6"/>
  <c r="I137" i="6"/>
  <c r="J137" i="6"/>
  <c r="K137" i="6"/>
  <c r="L137" i="6"/>
  <c r="N137" i="6"/>
  <c r="C157" i="6"/>
  <c r="D157" i="6"/>
  <c r="E157" i="6"/>
  <c r="F157" i="6"/>
  <c r="G157" i="6"/>
  <c r="I157" i="6"/>
  <c r="K157" i="6"/>
  <c r="L157" i="6"/>
  <c r="M157" i="6"/>
  <c r="N157" i="6"/>
  <c r="C159" i="6"/>
  <c r="D159" i="6"/>
  <c r="E159" i="6"/>
  <c r="F159" i="6"/>
  <c r="G159" i="6"/>
  <c r="I159" i="6"/>
  <c r="K159" i="6"/>
  <c r="L159" i="6"/>
  <c r="M159" i="6"/>
  <c r="N159" i="6"/>
  <c r="H171" i="6"/>
  <c r="C164" i="6"/>
  <c r="D164" i="6"/>
  <c r="E164" i="6"/>
  <c r="F164" i="6"/>
  <c r="G164" i="6"/>
  <c r="I164" i="6"/>
  <c r="K164" i="6"/>
  <c r="L164" i="6"/>
  <c r="M164" i="6"/>
  <c r="N164" i="6"/>
  <c r="M39" i="15"/>
  <c r="P39" i="15" s="1"/>
  <c r="N39" i="15"/>
  <c r="O39" i="15"/>
  <c r="R39" i="15"/>
  <c r="I28" i="15"/>
  <c r="J28" i="15" s="1"/>
  <c r="B27" i="15"/>
  <c r="C27" i="15"/>
  <c r="R20" i="15"/>
  <c r="R38" i="15"/>
  <c r="R13" i="15"/>
  <c r="R14" i="15"/>
  <c r="R15" i="15"/>
  <c r="R16" i="15"/>
  <c r="R17" i="15"/>
  <c r="R18" i="15"/>
  <c r="R19" i="15"/>
  <c r="R21" i="15"/>
  <c r="R22" i="15"/>
  <c r="R23" i="15"/>
  <c r="R24" i="15"/>
  <c r="R25" i="15"/>
  <c r="R26" i="15"/>
  <c r="R27" i="15"/>
  <c r="R28" i="15"/>
  <c r="R29" i="15"/>
  <c r="R30" i="15"/>
  <c r="R31" i="15"/>
  <c r="R32" i="15"/>
  <c r="R33" i="15"/>
  <c r="R34" i="15"/>
  <c r="R35" i="15"/>
  <c r="R36" i="15"/>
  <c r="R37" i="15"/>
  <c r="E6" i="6" l="1"/>
  <c r="E9" i="6"/>
  <c r="E12" i="6"/>
  <c r="E10" i="6"/>
  <c r="E11" i="6"/>
  <c r="E13" i="6"/>
  <c r="E14" i="6"/>
  <c r="E16" i="6"/>
  <c r="E19" i="6"/>
  <c r="E17" i="6"/>
  <c r="E21" i="6"/>
  <c r="E23" i="6"/>
  <c r="E22" i="6"/>
  <c r="E18" i="6"/>
  <c r="E27" i="6"/>
  <c r="E20" i="6"/>
  <c r="E24" i="6"/>
  <c r="E26" i="6"/>
  <c r="E33" i="6"/>
  <c r="E32" i="6"/>
  <c r="E25" i="6"/>
  <c r="E28" i="6"/>
  <c r="E36" i="6"/>
  <c r="E29" i="6"/>
  <c r="E31" i="6"/>
  <c r="E35" i="6"/>
  <c r="E39" i="6"/>
  <c r="E40" i="6"/>
  <c r="E43" i="6"/>
  <c r="E37" i="6"/>
  <c r="E30" i="6"/>
  <c r="E41" i="6"/>
  <c r="E49" i="6"/>
  <c r="E44" i="6"/>
  <c r="E52" i="6"/>
  <c r="E50" i="6"/>
  <c r="E47" i="6"/>
  <c r="E51" i="6"/>
  <c r="E54" i="6"/>
  <c r="E56" i="6"/>
  <c r="E57" i="6"/>
  <c r="E61" i="6"/>
  <c r="E48" i="6"/>
  <c r="E53" i="6"/>
  <c r="E58" i="6"/>
  <c r="E64" i="6"/>
  <c r="E63" i="6"/>
  <c r="E62" i="6"/>
  <c r="E55" i="6"/>
  <c r="E66" i="6"/>
  <c r="E65" i="6"/>
  <c r="E70" i="6"/>
  <c r="E72" i="6"/>
  <c r="E68" i="6"/>
  <c r="E75" i="6"/>
  <c r="E78" i="6"/>
  <c r="E76" i="6"/>
  <c r="E71" i="6"/>
  <c r="E73" i="6"/>
  <c r="E46" i="6"/>
  <c r="E80" i="6"/>
  <c r="E81" i="6"/>
  <c r="E79" i="6"/>
  <c r="E77" i="6"/>
  <c r="E87" i="6"/>
  <c r="E88" i="6"/>
  <c r="E82" i="6"/>
  <c r="E83" i="6"/>
  <c r="E95" i="6"/>
  <c r="E84" i="6"/>
  <c r="E85" i="6"/>
  <c r="E91" i="6"/>
  <c r="E86" i="6"/>
  <c r="E74" i="6"/>
  <c r="E89" i="6"/>
  <c r="E90" i="6"/>
  <c r="E99" i="6"/>
  <c r="E67" i="6"/>
  <c r="E94" i="6"/>
  <c r="E101" i="6"/>
  <c r="E93" i="6"/>
  <c r="E105" i="6"/>
  <c r="E96" i="6"/>
  <c r="E97" i="6"/>
  <c r="E98" i="6"/>
  <c r="E100" i="6"/>
  <c r="E102" i="6"/>
  <c r="E104" i="6"/>
  <c r="E109" i="6"/>
  <c r="E112" i="6"/>
  <c r="E106" i="6"/>
  <c r="E114" i="6"/>
  <c r="E115" i="6"/>
  <c r="E108" i="6"/>
  <c r="E117" i="6"/>
  <c r="E118" i="6"/>
  <c r="E110" i="6"/>
  <c r="E111" i="6"/>
  <c r="E119" i="6"/>
  <c r="E103" i="6"/>
  <c r="E116" i="6"/>
  <c r="E120" i="6"/>
  <c r="E113" i="6"/>
  <c r="E121" i="6"/>
  <c r="E59" i="6"/>
  <c r="E122" i="6"/>
  <c r="E127" i="6"/>
  <c r="E128" i="6"/>
  <c r="E125" i="6"/>
  <c r="E126" i="6"/>
  <c r="E133" i="6"/>
  <c r="E130" i="6"/>
  <c r="E124" i="6"/>
  <c r="E134" i="6"/>
  <c r="E136" i="6"/>
  <c r="E132" i="6"/>
  <c r="E139" i="6"/>
  <c r="E140" i="6"/>
  <c r="E142" i="6"/>
  <c r="E141" i="6"/>
  <c r="E144" i="6"/>
  <c r="E143" i="6"/>
  <c r="E145" i="6"/>
  <c r="E174" i="6"/>
  <c r="E147" i="6"/>
  <c r="E148" i="6"/>
  <c r="E149" i="6"/>
  <c r="E150" i="6"/>
  <c r="E152" i="6"/>
  <c r="E153" i="6"/>
  <c r="E175" i="6"/>
  <c r="E156" i="6"/>
  <c r="E158" i="6"/>
  <c r="E160" i="6"/>
  <c r="E161" i="6"/>
  <c r="E162" i="6"/>
  <c r="E163" i="6"/>
  <c r="E155" i="6"/>
  <c r="E165" i="6"/>
  <c r="E166" i="6"/>
  <c r="E167" i="6"/>
  <c r="E168" i="6"/>
  <c r="E169" i="6"/>
  <c r="E170" i="6"/>
  <c r="E171" i="6"/>
  <c r="E172" i="6"/>
  <c r="E176" i="6"/>
  <c r="E177" i="6"/>
  <c r="E178" i="6"/>
  <c r="E179" i="6"/>
  <c r="E180" i="6"/>
  <c r="E181" i="6"/>
  <c r="E182" i="6"/>
  <c r="E154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8" i="6"/>
  <c r="N10" i="6"/>
  <c r="N17" i="6"/>
  <c r="N22" i="6"/>
  <c r="N27" i="6"/>
  <c r="N24" i="6"/>
  <c r="N32" i="6"/>
  <c r="N25" i="6"/>
  <c r="N29" i="6"/>
  <c r="N31" i="6"/>
  <c r="N39" i="6"/>
  <c r="N40" i="6"/>
  <c r="N43" i="6"/>
  <c r="N37" i="6"/>
  <c r="N30" i="6"/>
  <c r="N49" i="6"/>
  <c r="N52" i="6"/>
  <c r="N50" i="6"/>
  <c r="N47" i="6"/>
  <c r="N51" i="6"/>
  <c r="N54" i="6"/>
  <c r="N56" i="6"/>
  <c r="N61" i="6"/>
  <c r="N48" i="6"/>
  <c r="N53" i="6"/>
  <c r="N58" i="6"/>
  <c r="N64" i="6"/>
  <c r="N62" i="6"/>
  <c r="N66" i="6"/>
  <c r="N65" i="6"/>
  <c r="N70" i="6"/>
  <c r="N72" i="6"/>
  <c r="N68" i="6"/>
  <c r="N75" i="6"/>
  <c r="N76" i="6"/>
  <c r="N71" i="6"/>
  <c r="N73" i="6"/>
  <c r="N46" i="6"/>
  <c r="N80" i="6"/>
  <c r="N81" i="6"/>
  <c r="N79" i="6"/>
  <c r="N77" i="6"/>
  <c r="N87" i="6"/>
  <c r="N88" i="6"/>
  <c r="N82" i="6"/>
  <c r="N83" i="6"/>
  <c r="N95" i="6"/>
  <c r="N84" i="6"/>
  <c r="N85" i="6"/>
  <c r="N91" i="6"/>
  <c r="N86" i="6"/>
  <c r="N74" i="6"/>
  <c r="N89" i="6"/>
  <c r="N90" i="6"/>
  <c r="N99" i="6"/>
  <c r="N67" i="6"/>
  <c r="N94" i="6"/>
  <c r="N93" i="6"/>
  <c r="N105" i="6"/>
  <c r="N96" i="6"/>
  <c r="N97" i="6"/>
  <c r="N98" i="6"/>
  <c r="N100" i="6"/>
  <c r="N102" i="6"/>
  <c r="N104" i="6"/>
  <c r="N109" i="6"/>
  <c r="N112" i="6"/>
  <c r="N106" i="6"/>
  <c r="N114" i="6"/>
  <c r="N115" i="6"/>
  <c r="N108" i="6"/>
  <c r="N117" i="6"/>
  <c r="N118" i="6"/>
  <c r="N110" i="6"/>
  <c r="N111" i="6"/>
  <c r="N119" i="6"/>
  <c r="N103" i="6"/>
  <c r="N116" i="6"/>
  <c r="N120" i="6"/>
  <c r="N113" i="6"/>
  <c r="N121" i="6"/>
  <c r="N59" i="6"/>
  <c r="N127" i="6"/>
  <c r="N128" i="6"/>
  <c r="N125" i="6"/>
  <c r="N126" i="6"/>
  <c r="N133" i="6"/>
  <c r="N130" i="6"/>
  <c r="N124" i="6"/>
  <c r="N134" i="6"/>
  <c r="N136" i="6"/>
  <c r="N132" i="6"/>
  <c r="N139" i="6"/>
  <c r="N140" i="6"/>
  <c r="N142" i="6"/>
  <c r="N141" i="6"/>
  <c r="N144" i="6"/>
  <c r="N143" i="6"/>
  <c r="N145" i="6"/>
  <c r="N174" i="6"/>
  <c r="N147" i="6"/>
  <c r="N148" i="6"/>
  <c r="N149" i="6"/>
  <c r="N150" i="6"/>
  <c r="N152" i="6"/>
  <c r="N153" i="6"/>
  <c r="N175" i="6"/>
  <c r="N156" i="6"/>
  <c r="N158" i="6"/>
  <c r="N160" i="6"/>
  <c r="N161" i="6"/>
  <c r="N162" i="6"/>
  <c r="N163" i="6"/>
  <c r="N155" i="6"/>
  <c r="N165" i="6"/>
  <c r="N166" i="6"/>
  <c r="N167" i="6"/>
  <c r="N168" i="6"/>
  <c r="N169" i="6"/>
  <c r="N170" i="6"/>
  <c r="N171" i="6"/>
  <c r="N172" i="6"/>
  <c r="N176" i="6"/>
  <c r="N177" i="6"/>
  <c r="N178" i="6"/>
  <c r="N179" i="6"/>
  <c r="N180" i="6"/>
  <c r="N181" i="6"/>
  <c r="N182" i="6"/>
  <c r="N154" i="6"/>
  <c r="N183" i="6"/>
  <c r="N184" i="6"/>
  <c r="N185" i="6"/>
  <c r="N186" i="6"/>
  <c r="N187" i="6"/>
  <c r="N188" i="6"/>
  <c r="N189" i="6"/>
  <c r="N190" i="6"/>
  <c r="N191" i="6"/>
  <c r="N192" i="6"/>
  <c r="N193" i="6"/>
  <c r="N194" i="6"/>
  <c r="N195" i="6"/>
  <c r="D122" i="6"/>
  <c r="F122" i="6"/>
  <c r="B38" i="15"/>
  <c r="C38" i="15"/>
  <c r="B39" i="15"/>
  <c r="C39" i="15"/>
  <c r="I39" i="15"/>
  <c r="B35" i="15"/>
  <c r="C35" i="15"/>
  <c r="B37" i="15"/>
  <c r="C37" i="15"/>
  <c r="B36" i="15"/>
  <c r="C36" i="15"/>
  <c r="C34" i="15"/>
  <c r="B34" i="15"/>
  <c r="B33" i="15"/>
  <c r="C33" i="15"/>
  <c r="C32" i="15"/>
  <c r="B32" i="15"/>
  <c r="B31" i="15"/>
  <c r="C31" i="15"/>
  <c r="C30" i="15"/>
  <c r="B30" i="15"/>
  <c r="C29" i="15"/>
  <c r="B29" i="15"/>
  <c r="C28" i="15"/>
  <c r="B28" i="15"/>
  <c r="C26" i="15"/>
  <c r="B26" i="15"/>
  <c r="B25" i="15"/>
  <c r="C25" i="15"/>
  <c r="I25" i="15" s="1"/>
  <c r="C24" i="15"/>
  <c r="B24" i="15"/>
  <c r="B22" i="15"/>
  <c r="C22" i="15"/>
  <c r="C23" i="15"/>
  <c r="B23" i="15"/>
  <c r="C21" i="15"/>
  <c r="B21" i="15"/>
  <c r="C20" i="15"/>
  <c r="B20" i="15"/>
  <c r="B19" i="15"/>
  <c r="C19" i="15"/>
  <c r="C18" i="15"/>
  <c r="B18" i="15"/>
  <c r="C17" i="15"/>
  <c r="B17" i="15"/>
  <c r="C16" i="15"/>
  <c r="B16" i="15"/>
  <c r="C15" i="15"/>
  <c r="I15" i="15" s="1"/>
  <c r="J15" i="15" s="1"/>
  <c r="B15" i="15"/>
  <c r="C14" i="15"/>
  <c r="I14" i="15" s="1"/>
  <c r="B14" i="15"/>
  <c r="C13" i="15"/>
  <c r="B13" i="15"/>
  <c r="C12" i="15"/>
  <c r="B12" i="15"/>
  <c r="D171" i="6" l="1"/>
  <c r="G122" i="6"/>
  <c r="H122" i="6"/>
  <c r="I122" i="6"/>
  <c r="J122" i="6"/>
  <c r="K122" i="6"/>
  <c r="L122" i="6"/>
  <c r="M122" i="6"/>
  <c r="M67" i="9"/>
  <c r="P67" i="9" s="1"/>
  <c r="H164" i="6" s="1"/>
  <c r="J164" i="6" s="1"/>
  <c r="S164" i="6" s="1"/>
  <c r="T164" i="6" s="1"/>
  <c r="N67" i="9"/>
  <c r="O67" i="9"/>
  <c r="R67" i="9"/>
  <c r="C15" i="9"/>
  <c r="I15" i="9" s="1"/>
  <c r="J15" i="9" s="1"/>
  <c r="B15" i="9"/>
  <c r="M45" i="10"/>
  <c r="P45" i="10" s="1"/>
  <c r="N45" i="10"/>
  <c r="O45" i="10"/>
  <c r="R45" i="10"/>
  <c r="C13" i="10"/>
  <c r="I13" i="10" s="1"/>
  <c r="J13" i="10" s="1"/>
  <c r="B13" i="10"/>
  <c r="G19" i="6"/>
  <c r="G23" i="6"/>
  <c r="G18" i="6"/>
  <c r="G29" i="6"/>
  <c r="G31" i="6"/>
  <c r="G26" i="6"/>
  <c r="G36" i="6"/>
  <c r="G37" i="6"/>
  <c r="G52" i="6"/>
  <c r="G49" i="6"/>
  <c r="G50" i="6"/>
  <c r="G54" i="6"/>
  <c r="G41" i="6"/>
  <c r="G61" i="6"/>
  <c r="G48" i="6"/>
  <c r="G64" i="6"/>
  <c r="G53" i="6"/>
  <c r="G58" i="6"/>
  <c r="G44" i="6"/>
  <c r="G27" i="6"/>
  <c r="G72" i="6"/>
  <c r="G70" i="6"/>
  <c r="G65" i="6"/>
  <c r="G75" i="6"/>
  <c r="G68" i="6"/>
  <c r="G46" i="6"/>
  <c r="G71" i="6"/>
  <c r="G80" i="6"/>
  <c r="G73" i="6"/>
  <c r="G79" i="6"/>
  <c r="G77" i="6"/>
  <c r="G95" i="6"/>
  <c r="G88" i="6"/>
  <c r="G82" i="6"/>
  <c r="G83" i="6"/>
  <c r="G99" i="6"/>
  <c r="G84" i="6"/>
  <c r="G85" i="6"/>
  <c r="G86" i="6"/>
  <c r="G67" i="6"/>
  <c r="G89" i="6"/>
  <c r="G90" i="6"/>
  <c r="G105" i="6"/>
  <c r="G94" i="6"/>
  <c r="G55" i="6"/>
  <c r="G93" i="6"/>
  <c r="G98" i="6"/>
  <c r="G102" i="6"/>
  <c r="G112" i="6"/>
  <c r="G114" i="6"/>
  <c r="G104" i="6"/>
  <c r="G109" i="6"/>
  <c r="G106" i="6"/>
  <c r="G118" i="6"/>
  <c r="G115" i="6"/>
  <c r="G119" i="6"/>
  <c r="G108" i="6"/>
  <c r="G120" i="6"/>
  <c r="G110" i="6"/>
  <c r="G111" i="6"/>
  <c r="G78" i="6"/>
  <c r="G116" i="6"/>
  <c r="G127" i="6"/>
  <c r="G113" i="6"/>
  <c r="G121" i="6"/>
  <c r="G59" i="6"/>
  <c r="G133" i="6"/>
  <c r="G125" i="6"/>
  <c r="G126" i="6"/>
  <c r="G130" i="6"/>
  <c r="G134" i="6"/>
  <c r="G142" i="6"/>
  <c r="G136" i="6"/>
  <c r="G140" i="6"/>
  <c r="G144" i="6"/>
  <c r="G141" i="6"/>
  <c r="G101" i="6"/>
  <c r="G143" i="6"/>
  <c r="G145" i="6"/>
  <c r="G174" i="6"/>
  <c r="G147" i="6"/>
  <c r="G150" i="6"/>
  <c r="G175" i="6"/>
  <c r="G156" i="6"/>
  <c r="G158" i="6"/>
  <c r="G160" i="6"/>
  <c r="G161" i="6"/>
  <c r="G162" i="6"/>
  <c r="G163" i="6"/>
  <c r="G155" i="6"/>
  <c r="G176" i="6"/>
  <c r="G177" i="6"/>
  <c r="G178" i="6"/>
  <c r="G179" i="6"/>
  <c r="G180" i="6"/>
  <c r="G181" i="6"/>
  <c r="G182" i="6"/>
  <c r="G154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C122" i="6"/>
  <c r="I7" i="7"/>
  <c r="I8" i="7"/>
  <c r="I9" i="7"/>
  <c r="I10" i="7"/>
  <c r="I11" i="7"/>
  <c r="I12" i="7"/>
  <c r="I14" i="7"/>
  <c r="I15" i="7"/>
  <c r="I16" i="7"/>
  <c r="I18" i="7"/>
  <c r="I19" i="7"/>
  <c r="I20" i="7"/>
  <c r="I21" i="7"/>
  <c r="I22" i="7"/>
  <c r="I23" i="7"/>
  <c r="I24" i="7"/>
  <c r="I25" i="7"/>
  <c r="I26" i="7"/>
  <c r="I27" i="7"/>
  <c r="I28" i="7"/>
  <c r="I29" i="7"/>
  <c r="I31" i="7"/>
  <c r="I32" i="7"/>
  <c r="I34" i="7"/>
  <c r="I37" i="7"/>
  <c r="I38" i="7"/>
  <c r="I39" i="7"/>
  <c r="I40" i="7"/>
  <c r="I41" i="7"/>
  <c r="I42" i="7"/>
  <c r="I44" i="7"/>
  <c r="I45" i="7"/>
  <c r="I48" i="7"/>
  <c r="I49" i="7"/>
  <c r="I50" i="7"/>
  <c r="I51" i="7"/>
  <c r="I60" i="7"/>
  <c r="I61" i="7"/>
  <c r="I63" i="7"/>
  <c r="I66" i="7"/>
  <c r="I68" i="7"/>
  <c r="I69" i="7"/>
  <c r="I70" i="7"/>
  <c r="I72" i="7"/>
  <c r="I74" i="7"/>
  <c r="I76" i="7"/>
  <c r="I78" i="7"/>
  <c r="I79" i="7"/>
  <c r="I80" i="7"/>
  <c r="I81" i="7"/>
  <c r="I82" i="7"/>
  <c r="I83" i="7"/>
  <c r="I84" i="7"/>
  <c r="I86" i="7"/>
  <c r="I87" i="7"/>
  <c r="I90" i="7"/>
  <c r="I94" i="7"/>
  <c r="I96" i="7"/>
  <c r="I97" i="7"/>
  <c r="I98" i="7"/>
  <c r="I101" i="7"/>
  <c r="I103" i="7"/>
  <c r="I105" i="7"/>
  <c r="I110" i="7"/>
  <c r="I115" i="7"/>
  <c r="I116" i="7"/>
  <c r="I118" i="7"/>
  <c r="I119" i="7"/>
  <c r="I120" i="7"/>
  <c r="I121" i="7"/>
  <c r="I123" i="7"/>
  <c r="I127" i="7"/>
  <c r="I128" i="7"/>
  <c r="I134" i="7"/>
  <c r="I135" i="7"/>
  <c r="I138" i="7"/>
  <c r="I141" i="7"/>
  <c r="I142" i="7"/>
  <c r="I143" i="7"/>
  <c r="I145" i="7"/>
  <c r="I148" i="7"/>
  <c r="I149" i="7"/>
  <c r="I150" i="7"/>
  <c r="I153" i="7"/>
  <c r="I154" i="7"/>
  <c r="I157" i="7"/>
  <c r="I158" i="7"/>
  <c r="I161" i="7"/>
  <c r="I162" i="7"/>
  <c r="I165" i="7"/>
  <c r="I166" i="7"/>
  <c r="I167" i="7"/>
  <c r="I168" i="7"/>
  <c r="I169" i="7"/>
  <c r="I170" i="7"/>
  <c r="I171" i="7"/>
  <c r="I172" i="7"/>
  <c r="I173" i="7"/>
  <c r="I174" i="7"/>
  <c r="I175" i="7"/>
  <c r="I176" i="7"/>
  <c r="I178" i="7"/>
  <c r="I179" i="7"/>
  <c r="I3" i="7"/>
  <c r="I4" i="7"/>
  <c r="I5" i="7"/>
  <c r="C103" i="6"/>
  <c r="D103" i="6"/>
  <c r="F103" i="6"/>
  <c r="C172" i="6"/>
  <c r="D172" i="6"/>
  <c r="F172" i="6"/>
  <c r="C74" i="6"/>
  <c r="D74" i="6"/>
  <c r="F74" i="6"/>
  <c r="C132" i="6"/>
  <c r="D132" i="6"/>
  <c r="F132" i="6"/>
  <c r="B65" i="5"/>
  <c r="B67" i="5"/>
  <c r="B32" i="5"/>
  <c r="B39" i="5"/>
  <c r="B46" i="5"/>
  <c r="B50" i="5"/>
  <c r="B47" i="5"/>
  <c r="B56" i="5"/>
  <c r="B59" i="5"/>
  <c r="B63" i="5"/>
  <c r="B66" i="5"/>
  <c r="B68" i="5"/>
  <c r="M59" i="5"/>
  <c r="N59" i="5"/>
  <c r="O59" i="5"/>
  <c r="R59" i="5"/>
  <c r="M60" i="5"/>
  <c r="N60" i="5"/>
  <c r="O60" i="5"/>
  <c r="R60" i="5"/>
  <c r="M61" i="5"/>
  <c r="N61" i="5"/>
  <c r="O61" i="5"/>
  <c r="R61" i="5"/>
  <c r="M62" i="5"/>
  <c r="N62" i="5"/>
  <c r="O62" i="5"/>
  <c r="R62" i="5"/>
  <c r="M63" i="5"/>
  <c r="N63" i="5"/>
  <c r="O63" i="5"/>
  <c r="R63" i="5"/>
  <c r="M64" i="5"/>
  <c r="N64" i="5"/>
  <c r="O64" i="5"/>
  <c r="R64" i="5"/>
  <c r="M65" i="5"/>
  <c r="N65" i="5"/>
  <c r="O65" i="5"/>
  <c r="R65" i="5"/>
  <c r="M66" i="5"/>
  <c r="N66" i="5"/>
  <c r="O66" i="5"/>
  <c r="R66" i="5"/>
  <c r="M67" i="5"/>
  <c r="P67" i="5" s="1"/>
  <c r="G170" i="6" s="1"/>
  <c r="N67" i="5"/>
  <c r="O67" i="5"/>
  <c r="R67" i="5"/>
  <c r="M68" i="5"/>
  <c r="N68" i="5"/>
  <c r="O68" i="5"/>
  <c r="R68" i="5"/>
  <c r="C32" i="5"/>
  <c r="I32" i="5" s="1"/>
  <c r="J32" i="5" s="1"/>
  <c r="C39" i="5"/>
  <c r="I39" i="5" s="1"/>
  <c r="J39" i="5" s="1"/>
  <c r="C46" i="5"/>
  <c r="I46" i="5" s="1"/>
  <c r="J46" i="5" s="1"/>
  <c r="C50" i="5"/>
  <c r="I50" i="5" s="1"/>
  <c r="J50" i="5" s="1"/>
  <c r="C47" i="5"/>
  <c r="I47" i="5" s="1"/>
  <c r="J47" i="5" s="1"/>
  <c r="C56" i="5"/>
  <c r="I56" i="5" s="1"/>
  <c r="J56" i="5" s="1"/>
  <c r="C59" i="5"/>
  <c r="I59" i="5" s="1"/>
  <c r="J59" i="5" s="1"/>
  <c r="C63" i="5"/>
  <c r="I63" i="5" s="1"/>
  <c r="J63" i="5" s="1"/>
  <c r="C66" i="5"/>
  <c r="I66" i="5" s="1"/>
  <c r="J66" i="5" s="1"/>
  <c r="C68" i="5"/>
  <c r="I68" i="5" s="1"/>
  <c r="J68" i="5" s="1"/>
  <c r="J21" i="12"/>
  <c r="J23" i="12"/>
  <c r="J30" i="12"/>
  <c r="P65" i="5" l="1"/>
  <c r="G171" i="6" s="1"/>
  <c r="P63" i="5"/>
  <c r="G97" i="6" s="1"/>
  <c r="P66" i="5"/>
  <c r="G96" i="6" s="1"/>
  <c r="P64" i="5"/>
  <c r="G169" i="6" s="1"/>
  <c r="P62" i="5"/>
  <c r="G91" i="6" s="1"/>
  <c r="P59" i="5"/>
  <c r="G57" i="6" s="1"/>
  <c r="Q164" i="6"/>
  <c r="V164" i="6" s="1"/>
  <c r="P61" i="5"/>
  <c r="G148" i="6" s="1"/>
  <c r="P68" i="5"/>
  <c r="G153" i="6" s="1"/>
  <c r="P60" i="5"/>
  <c r="G168" i="6" s="1"/>
  <c r="N3" i="7"/>
  <c r="N4" i="7"/>
  <c r="N7" i="7"/>
  <c r="N8" i="7"/>
  <c r="N9" i="7"/>
  <c r="N10" i="7"/>
  <c r="N14" i="7"/>
  <c r="N16" i="7"/>
  <c r="N18" i="7"/>
  <c r="N20" i="7"/>
  <c r="N21" i="7"/>
  <c r="N22" i="7"/>
  <c r="N23" i="7"/>
  <c r="N24" i="7"/>
  <c r="N25" i="7"/>
  <c r="N26" i="7"/>
  <c r="N27" i="7"/>
  <c r="N29" i="7"/>
  <c r="N32" i="7"/>
  <c r="N34" i="7"/>
  <c r="N36" i="7"/>
  <c r="N37" i="7"/>
  <c r="N38" i="7"/>
  <c r="N41" i="7"/>
  <c r="N42" i="7"/>
  <c r="N43" i="7"/>
  <c r="N44" i="7"/>
  <c r="N47" i="7"/>
  <c r="N48" i="7"/>
  <c r="N50" i="7"/>
  <c r="N51" i="7"/>
  <c r="N52" i="7"/>
  <c r="N54" i="7"/>
  <c r="N55" i="7"/>
  <c r="N56" i="7"/>
  <c r="N57" i="7"/>
  <c r="N60" i="7"/>
  <c r="N61" i="7"/>
  <c r="N62" i="7"/>
  <c r="N63" i="7"/>
  <c r="N64" i="7"/>
  <c r="N65" i="7"/>
  <c r="N66" i="7"/>
  <c r="N67" i="7"/>
  <c r="N69" i="7"/>
  <c r="N72" i="7"/>
  <c r="N74" i="7"/>
  <c r="N75" i="7"/>
  <c r="N76" i="7"/>
  <c r="N78" i="7"/>
  <c r="N80" i="7"/>
  <c r="N81" i="7"/>
  <c r="N83" i="7"/>
  <c r="N84" i="7"/>
  <c r="N85" i="7"/>
  <c r="N88" i="7"/>
  <c r="N89" i="7"/>
  <c r="N93" i="7"/>
  <c r="N94" i="7"/>
  <c r="N97" i="7"/>
  <c r="N98" i="7"/>
  <c r="N99" i="7"/>
  <c r="N102" i="7"/>
  <c r="N103" i="7"/>
  <c r="N107" i="7"/>
  <c r="N111" i="7"/>
  <c r="N112" i="7"/>
  <c r="N116" i="7"/>
  <c r="N117" i="7"/>
  <c r="N118" i="7"/>
  <c r="N120" i="7"/>
  <c r="N121" i="7"/>
  <c r="N127" i="7"/>
  <c r="N131" i="7"/>
  <c r="N134" i="7"/>
  <c r="N136" i="7"/>
  <c r="N139" i="7"/>
  <c r="N141" i="7"/>
  <c r="N142" i="7"/>
  <c r="N143" i="7"/>
  <c r="N146" i="7"/>
  <c r="N149" i="7"/>
  <c r="N150" i="7"/>
  <c r="N151" i="7"/>
  <c r="N152" i="7"/>
  <c r="N153" i="7"/>
  <c r="N154" i="7"/>
  <c r="N158" i="7"/>
  <c r="N159" i="7"/>
  <c r="N160" i="7"/>
  <c r="N161" i="7"/>
  <c r="N166" i="7"/>
  <c r="N167" i="7"/>
  <c r="N171" i="7"/>
  <c r="N172" i="7"/>
  <c r="N174" i="7"/>
  <c r="N175" i="7"/>
  <c r="N2" i="7"/>
  <c r="R13" i="14"/>
  <c r="N108" i="7" s="1"/>
  <c r="R14" i="14"/>
  <c r="N126" i="7" s="1"/>
  <c r="R15" i="14"/>
  <c r="N144" i="7" s="1"/>
  <c r="R16" i="14"/>
  <c r="N31" i="7" s="1"/>
  <c r="R17" i="14"/>
  <c r="N140" i="7" s="1"/>
  <c r="R18" i="14"/>
  <c r="N11" i="7" s="1"/>
  <c r="R19" i="14"/>
  <c r="N122" i="7" s="1"/>
  <c r="R20" i="14"/>
  <c r="N71" i="7" s="1"/>
  <c r="R21" i="14"/>
  <c r="N157" i="7" s="1"/>
  <c r="R22" i="14"/>
  <c r="N155" i="7" s="1"/>
  <c r="R23" i="14"/>
  <c r="N13" i="7" s="1"/>
  <c r="R24" i="14"/>
  <c r="R25" i="14"/>
  <c r="R26" i="14"/>
  <c r="R27" i="14"/>
  <c r="N156" i="7" s="1"/>
  <c r="R28" i="14"/>
  <c r="R29" i="14"/>
  <c r="N92" i="7" s="1"/>
  <c r="R30" i="14"/>
  <c r="R31" i="14"/>
  <c r="N148" i="7" s="1"/>
  <c r="R32" i="14"/>
  <c r="N169" i="7" s="1"/>
  <c r="R33" i="14"/>
  <c r="N58" i="7" s="1"/>
  <c r="R34" i="14"/>
  <c r="R35" i="14"/>
  <c r="N179" i="7" s="1"/>
  <c r="R36" i="14"/>
  <c r="N100" i="7" s="1"/>
  <c r="R37" i="14"/>
  <c r="R38" i="14"/>
  <c r="R39" i="14"/>
  <c r="R40" i="14"/>
  <c r="R41" i="14"/>
  <c r="N77" i="7" s="1"/>
  <c r="R42" i="14"/>
  <c r="R43" i="14"/>
  <c r="N114" i="7" s="1"/>
  <c r="R44" i="14"/>
  <c r="R45" i="14"/>
  <c r="R46" i="14"/>
  <c r="N168" i="7" s="1"/>
  <c r="R47" i="14"/>
  <c r="R48" i="14"/>
  <c r="N87" i="7" s="1"/>
  <c r="R49" i="14"/>
  <c r="N101" i="7" s="1"/>
  <c r="R50" i="14"/>
  <c r="N138" i="7" s="1"/>
  <c r="R51" i="14"/>
  <c r="N86" i="7" s="1"/>
  <c r="R52" i="14"/>
  <c r="N119" i="7" s="1"/>
  <c r="R53" i="14"/>
  <c r="N173" i="7" s="1"/>
  <c r="R54" i="14"/>
  <c r="R55" i="14"/>
  <c r="R56" i="14"/>
  <c r="R57" i="14"/>
  <c r="R58" i="14"/>
  <c r="R59" i="14"/>
  <c r="N68" i="7" s="1"/>
  <c r="R60" i="14"/>
  <c r="N128" i="7" s="1"/>
  <c r="R61" i="14"/>
  <c r="R62" i="14"/>
  <c r="N105" i="7" s="1"/>
  <c r="R63" i="14"/>
  <c r="N176" i="7" s="1"/>
  <c r="R64" i="14"/>
  <c r="N162" i="7" s="1"/>
  <c r="R65" i="14"/>
  <c r="N123" i="7" s="1"/>
  <c r="R12" i="14"/>
  <c r="N28" i="7" s="1"/>
  <c r="M3" i="7"/>
  <c r="M4" i="7"/>
  <c r="M5" i="7"/>
  <c r="M7" i="7"/>
  <c r="M8" i="7"/>
  <c r="M9" i="7"/>
  <c r="M10" i="7"/>
  <c r="M11" i="7"/>
  <c r="M12" i="7"/>
  <c r="M14" i="7"/>
  <c r="M15" i="7"/>
  <c r="M16" i="7"/>
  <c r="M18" i="7"/>
  <c r="M19" i="7"/>
  <c r="M20" i="7"/>
  <c r="M22" i="7"/>
  <c r="M23" i="7"/>
  <c r="M25" i="7"/>
  <c r="M26" i="7"/>
  <c r="M27" i="7"/>
  <c r="M28" i="7"/>
  <c r="M29" i="7"/>
  <c r="M30" i="7"/>
  <c r="M31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7" i="7"/>
  <c r="M49" i="7"/>
  <c r="M51" i="7"/>
  <c r="M52" i="7"/>
  <c r="M54" i="7"/>
  <c r="M55" i="7"/>
  <c r="M60" i="7"/>
  <c r="M63" i="7"/>
  <c r="M64" i="7"/>
  <c r="M65" i="7"/>
  <c r="M66" i="7"/>
  <c r="M67" i="7"/>
  <c r="M68" i="7"/>
  <c r="M69" i="7"/>
  <c r="M70" i="7"/>
  <c r="M72" i="7"/>
  <c r="M74" i="7"/>
  <c r="M75" i="7"/>
  <c r="M77" i="7"/>
  <c r="M79" i="7"/>
  <c r="M80" i="7"/>
  <c r="M81" i="7"/>
  <c r="M82" i="7"/>
  <c r="M83" i="7"/>
  <c r="M86" i="7"/>
  <c r="M88" i="7"/>
  <c r="M90" i="7"/>
  <c r="M93" i="7"/>
  <c r="M94" i="7"/>
  <c r="M98" i="7"/>
  <c r="M103" i="7"/>
  <c r="M105" i="7"/>
  <c r="M106" i="7"/>
  <c r="M108" i="7"/>
  <c r="M110" i="7"/>
  <c r="M111" i="7"/>
  <c r="M112" i="7"/>
  <c r="M113" i="7"/>
  <c r="M115" i="7"/>
  <c r="M116" i="7"/>
  <c r="M117" i="7"/>
  <c r="M118" i="7"/>
  <c r="M119" i="7"/>
  <c r="M120" i="7"/>
  <c r="M121" i="7"/>
  <c r="M122" i="7"/>
  <c r="M123" i="7"/>
  <c r="M125" i="7"/>
  <c r="M126" i="7"/>
  <c r="M127" i="7"/>
  <c r="M128" i="7"/>
  <c r="M129" i="7"/>
  <c r="M130" i="7"/>
  <c r="M132" i="7"/>
  <c r="M133" i="7"/>
  <c r="M134" i="7"/>
  <c r="M135" i="7"/>
  <c r="M136" i="7"/>
  <c r="M137" i="7"/>
  <c r="M140" i="7"/>
  <c r="M141" i="7"/>
  <c r="M142" i="7"/>
  <c r="M143" i="7"/>
  <c r="M144" i="7"/>
  <c r="M145" i="7"/>
  <c r="M147" i="7"/>
  <c r="M148" i="7"/>
  <c r="M149" i="7"/>
  <c r="M150" i="7"/>
  <c r="M151" i="7"/>
  <c r="M152" i="7"/>
  <c r="M153" i="7"/>
  <c r="M154" i="7"/>
  <c r="M155" i="7"/>
  <c r="M156" i="7"/>
  <c r="M158" i="7"/>
  <c r="M159" i="7"/>
  <c r="M160" i="7"/>
  <c r="M161" i="7"/>
  <c r="M162" i="7"/>
  <c r="M163" i="7"/>
  <c r="M166" i="7"/>
  <c r="M167" i="7"/>
  <c r="M170" i="7"/>
  <c r="M171" i="7"/>
  <c r="M173" i="7"/>
  <c r="M174" i="7"/>
  <c r="M176" i="7"/>
  <c r="M179" i="7"/>
  <c r="M2" i="7"/>
  <c r="L3" i="7"/>
  <c r="L4" i="7"/>
  <c r="L7" i="7"/>
  <c r="L8" i="7"/>
  <c r="L9" i="7"/>
  <c r="L10" i="7"/>
  <c r="L12" i="7"/>
  <c r="L13" i="7"/>
  <c r="L14" i="7"/>
  <c r="L15" i="7"/>
  <c r="L16" i="7"/>
  <c r="L18" i="7"/>
  <c r="L19" i="7"/>
  <c r="L20" i="7"/>
  <c r="L21" i="7"/>
  <c r="L22" i="7"/>
  <c r="L23" i="7"/>
  <c r="L24" i="7"/>
  <c r="L26" i="7"/>
  <c r="L27" i="7"/>
  <c r="L28" i="7"/>
  <c r="L29" i="7"/>
  <c r="L30" i="7"/>
  <c r="L32" i="7"/>
  <c r="L34" i="7"/>
  <c r="L35" i="7"/>
  <c r="L36" i="7"/>
  <c r="L37" i="7"/>
  <c r="L38" i="7"/>
  <c r="L41" i="7"/>
  <c r="L43" i="7"/>
  <c r="L44" i="7"/>
  <c r="L45" i="7"/>
  <c r="L47" i="7"/>
  <c r="L48" i="7"/>
  <c r="L49" i="7"/>
  <c r="L50" i="7"/>
  <c r="L51" i="7"/>
  <c r="L52" i="7"/>
  <c r="L54" i="7"/>
  <c r="L55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2" i="7"/>
  <c r="L74" i="7"/>
  <c r="L75" i="7"/>
  <c r="L76" i="7"/>
  <c r="L77" i="7"/>
  <c r="L78" i="7"/>
  <c r="L80" i="7"/>
  <c r="L81" i="7"/>
  <c r="L83" i="7"/>
  <c r="L84" i="7"/>
  <c r="L85" i="7"/>
  <c r="L86" i="7"/>
  <c r="L87" i="7"/>
  <c r="L88" i="7"/>
  <c r="L89" i="7"/>
  <c r="L90" i="7"/>
  <c r="L92" i="7"/>
  <c r="L93" i="7"/>
  <c r="L94" i="7"/>
  <c r="L96" i="7"/>
  <c r="L97" i="7"/>
  <c r="L98" i="7"/>
  <c r="L99" i="7"/>
  <c r="L100" i="7"/>
  <c r="L101" i="7"/>
  <c r="L102" i="7"/>
  <c r="L103" i="7"/>
  <c r="L104" i="7"/>
  <c r="L105" i="7"/>
  <c r="L106" i="7"/>
  <c r="L107" i="7"/>
  <c r="L109" i="7"/>
  <c r="L111" i="7"/>
  <c r="L112" i="7"/>
  <c r="L114" i="7"/>
  <c r="L117" i="7"/>
  <c r="L119" i="7"/>
  <c r="L120" i="7"/>
  <c r="L122" i="7"/>
  <c r="L123" i="7"/>
  <c r="L125" i="7"/>
  <c r="L126" i="7"/>
  <c r="L128" i="7"/>
  <c r="L129" i="7"/>
  <c r="L130" i="7"/>
  <c r="L131" i="7"/>
  <c r="L132" i="7"/>
  <c r="L133" i="7"/>
  <c r="L135" i="7"/>
  <c r="L136" i="7"/>
  <c r="L138" i="7"/>
  <c r="L139" i="7"/>
  <c r="L140" i="7"/>
  <c r="L141" i="7"/>
  <c r="L143" i="7"/>
  <c r="L145" i="7"/>
  <c r="L146" i="7"/>
  <c r="L147" i="7"/>
  <c r="L148" i="7"/>
  <c r="L150" i="7"/>
  <c r="L151" i="7"/>
  <c r="L152" i="7"/>
  <c r="L153" i="7"/>
  <c r="L154" i="7"/>
  <c r="L155" i="7"/>
  <c r="L156" i="7"/>
  <c r="L157" i="7"/>
  <c r="L158" i="7"/>
  <c r="L159" i="7"/>
  <c r="L161" i="7"/>
  <c r="L162" i="7"/>
  <c r="L163" i="7"/>
  <c r="L164" i="7"/>
  <c r="L165" i="7"/>
  <c r="L166" i="7"/>
  <c r="L167" i="7"/>
  <c r="L169" i="7"/>
  <c r="L170" i="7"/>
  <c r="L171" i="7"/>
  <c r="L172" i="7"/>
  <c r="L174" i="7"/>
  <c r="L175" i="7"/>
  <c r="L176" i="7"/>
  <c r="L178" i="7"/>
  <c r="L179" i="7"/>
  <c r="L2" i="7"/>
  <c r="K3" i="7"/>
  <c r="K4" i="7"/>
  <c r="K5" i="7"/>
  <c r="K7" i="7"/>
  <c r="K8" i="7"/>
  <c r="K10" i="7"/>
  <c r="K11" i="7"/>
  <c r="K13" i="7"/>
  <c r="K14" i="7"/>
  <c r="K16" i="7"/>
  <c r="K19" i="7"/>
  <c r="K21" i="7"/>
  <c r="K22" i="7"/>
  <c r="K23" i="7"/>
  <c r="K24" i="7"/>
  <c r="K25" i="7"/>
  <c r="K26" i="7"/>
  <c r="K27" i="7"/>
  <c r="K28" i="7"/>
  <c r="K29" i="7"/>
  <c r="K32" i="7"/>
  <c r="K33" i="7"/>
  <c r="K34" i="7"/>
  <c r="K36" i="7"/>
  <c r="K37" i="7"/>
  <c r="K38" i="7"/>
  <c r="K39" i="7"/>
  <c r="K40" i="7"/>
  <c r="K41" i="7"/>
  <c r="K42" i="7"/>
  <c r="K43" i="7"/>
  <c r="K44" i="7"/>
  <c r="K45" i="7"/>
  <c r="K47" i="7"/>
  <c r="K48" i="7"/>
  <c r="K49" i="7"/>
  <c r="K50" i="7"/>
  <c r="K51" i="7"/>
  <c r="K52" i="7"/>
  <c r="K56" i="7"/>
  <c r="K57" i="7"/>
  <c r="K60" i="7"/>
  <c r="K61" i="7"/>
  <c r="K62" i="7"/>
  <c r="K63" i="7"/>
  <c r="K64" i="7"/>
  <c r="K65" i="7"/>
  <c r="K66" i="7"/>
  <c r="K67" i="7"/>
  <c r="K68" i="7"/>
  <c r="K69" i="7"/>
  <c r="K70" i="7"/>
  <c r="K72" i="7"/>
  <c r="K74" i="7"/>
  <c r="K75" i="7"/>
  <c r="K76" i="7"/>
  <c r="K77" i="7"/>
  <c r="K78" i="7"/>
  <c r="K79" i="7"/>
  <c r="K81" i="7"/>
  <c r="K82" i="7"/>
  <c r="K84" i="7"/>
  <c r="K86" i="7"/>
  <c r="K87" i="7"/>
  <c r="K88" i="7"/>
  <c r="K90" i="7"/>
  <c r="K92" i="7"/>
  <c r="K93" i="7"/>
  <c r="K94" i="7"/>
  <c r="K96" i="7"/>
  <c r="K97" i="7"/>
  <c r="K98" i="7"/>
  <c r="K99" i="7"/>
  <c r="K101" i="7"/>
  <c r="K102" i="7"/>
  <c r="K103" i="7"/>
  <c r="K105" i="7"/>
  <c r="K106" i="7"/>
  <c r="K107" i="7"/>
  <c r="K109" i="7"/>
  <c r="K110" i="7"/>
  <c r="K111" i="7"/>
  <c r="K112" i="7"/>
  <c r="K114" i="7"/>
  <c r="K115" i="7"/>
  <c r="K116" i="7"/>
  <c r="K117" i="7"/>
  <c r="K118" i="7"/>
  <c r="K123" i="7"/>
  <c r="K127" i="7"/>
  <c r="K131" i="7"/>
  <c r="K132" i="7"/>
  <c r="K134" i="7"/>
  <c r="K135" i="7"/>
  <c r="K136" i="7"/>
  <c r="K138" i="7"/>
  <c r="K139" i="7"/>
  <c r="K142" i="7"/>
  <c r="K143" i="7"/>
  <c r="K144" i="7"/>
  <c r="K149" i="7"/>
  <c r="K153" i="7"/>
  <c r="K157" i="7"/>
  <c r="K160" i="7"/>
  <c r="K161" i="7"/>
  <c r="K164" i="7"/>
  <c r="K165" i="7"/>
  <c r="K166" i="7"/>
  <c r="K167" i="7"/>
  <c r="K168" i="7"/>
  <c r="K170" i="7"/>
  <c r="K171" i="7"/>
  <c r="K172" i="7"/>
  <c r="K173" i="7"/>
  <c r="K174" i="7"/>
  <c r="K175" i="7"/>
  <c r="K176" i="7"/>
  <c r="K177" i="7"/>
  <c r="K179" i="7"/>
  <c r="K2" i="7"/>
  <c r="J3" i="7"/>
  <c r="J4" i="7"/>
  <c r="J5" i="7"/>
  <c r="J8" i="7"/>
  <c r="J9" i="7"/>
  <c r="J13" i="7"/>
  <c r="J15" i="7"/>
  <c r="J18" i="7"/>
  <c r="J19" i="7"/>
  <c r="J20" i="7"/>
  <c r="J21" i="7"/>
  <c r="J22" i="7"/>
  <c r="J23" i="7"/>
  <c r="J24" i="7"/>
  <c r="J25" i="7"/>
  <c r="J27" i="7"/>
  <c r="J30" i="7"/>
  <c r="J32" i="7"/>
  <c r="J34" i="7"/>
  <c r="J37" i="7"/>
  <c r="J38" i="7"/>
  <c r="J39" i="7"/>
  <c r="J40" i="7"/>
  <c r="J42" i="7"/>
  <c r="J43" i="7"/>
  <c r="J44" i="7"/>
  <c r="J45" i="7"/>
  <c r="J47" i="7"/>
  <c r="J48" i="7"/>
  <c r="J49" i="7"/>
  <c r="J50" i="7"/>
  <c r="J54" i="7"/>
  <c r="J55" i="7"/>
  <c r="J56" i="7"/>
  <c r="J57" i="7"/>
  <c r="J58" i="7"/>
  <c r="J59" i="7"/>
  <c r="J62" i="7"/>
  <c r="J63" i="7"/>
  <c r="J65" i="7"/>
  <c r="J67" i="7"/>
  <c r="J77" i="7"/>
  <c r="J78" i="7"/>
  <c r="J79" i="7"/>
  <c r="J81" i="7"/>
  <c r="J82" i="7"/>
  <c r="J84" i="7"/>
  <c r="J86" i="7"/>
  <c r="J87" i="7"/>
  <c r="J88" i="7"/>
  <c r="J90" i="7"/>
  <c r="J91" i="7"/>
  <c r="J93" i="7"/>
  <c r="J94" i="7"/>
  <c r="J95" i="7"/>
  <c r="J97" i="7"/>
  <c r="J101" i="7"/>
  <c r="J105" i="7"/>
  <c r="J106" i="7"/>
  <c r="J109" i="7"/>
  <c r="J111" i="7"/>
  <c r="J112" i="7"/>
  <c r="J113" i="7"/>
  <c r="J116" i="7"/>
  <c r="J125" i="7"/>
  <c r="J129" i="7"/>
  <c r="J131" i="7"/>
  <c r="J132" i="7"/>
  <c r="J136" i="7"/>
  <c r="J138" i="7"/>
  <c r="J139" i="7"/>
  <c r="J143" i="7"/>
  <c r="J145" i="7"/>
  <c r="J146" i="7"/>
  <c r="J149" i="7"/>
  <c r="J152" i="7"/>
  <c r="J153" i="7"/>
  <c r="J154" i="7"/>
  <c r="J160" i="7"/>
  <c r="J161" i="7"/>
  <c r="J162" i="7"/>
  <c r="J167" i="7"/>
  <c r="J168" i="7"/>
  <c r="J169" i="7"/>
  <c r="J170" i="7"/>
  <c r="J172" i="7"/>
  <c r="J173" i="7"/>
  <c r="J175" i="7"/>
  <c r="J176" i="7"/>
  <c r="J177" i="7"/>
  <c r="J179" i="7"/>
  <c r="J2" i="7"/>
  <c r="M20" i="6"/>
  <c r="M103" i="6"/>
  <c r="M172" i="6"/>
  <c r="M74" i="6"/>
  <c r="M132" i="6"/>
  <c r="J176" i="6"/>
  <c r="K176" i="6"/>
  <c r="L176" i="6"/>
  <c r="J59" i="6"/>
  <c r="K59" i="6"/>
  <c r="L59" i="6"/>
  <c r="J177" i="6"/>
  <c r="K177" i="6"/>
  <c r="L177" i="6"/>
  <c r="J115" i="6"/>
  <c r="K115" i="6"/>
  <c r="L115" i="6"/>
  <c r="J175" i="6"/>
  <c r="K175" i="6"/>
  <c r="L175" i="6"/>
  <c r="J109" i="6"/>
  <c r="K109" i="6"/>
  <c r="L109" i="6"/>
  <c r="J126" i="6"/>
  <c r="K126" i="6"/>
  <c r="L126" i="6"/>
  <c r="J178" i="6"/>
  <c r="K178" i="6"/>
  <c r="L178" i="6"/>
  <c r="J179" i="6"/>
  <c r="K179" i="6"/>
  <c r="L179" i="6"/>
  <c r="J180" i="6"/>
  <c r="K180" i="6"/>
  <c r="L180" i="6"/>
  <c r="J181" i="6"/>
  <c r="K181" i="6"/>
  <c r="L181" i="6"/>
  <c r="J182" i="6"/>
  <c r="K182" i="6"/>
  <c r="L182" i="6"/>
  <c r="J174" i="6"/>
  <c r="K174" i="6"/>
  <c r="L174" i="6"/>
  <c r="J154" i="6"/>
  <c r="K154" i="6"/>
  <c r="L154" i="6"/>
  <c r="J183" i="6"/>
  <c r="K183" i="6"/>
  <c r="L183" i="6"/>
  <c r="J184" i="6"/>
  <c r="K184" i="6"/>
  <c r="L184" i="6"/>
  <c r="J185" i="6"/>
  <c r="K185" i="6"/>
  <c r="L185" i="6"/>
  <c r="J186" i="6"/>
  <c r="K186" i="6"/>
  <c r="L186" i="6"/>
  <c r="K103" i="6"/>
  <c r="L103" i="6"/>
  <c r="K172" i="6"/>
  <c r="L172" i="6"/>
  <c r="K74" i="6"/>
  <c r="L74" i="6"/>
  <c r="K132" i="6"/>
  <c r="L132" i="6"/>
  <c r="H176" i="6"/>
  <c r="I176" i="6"/>
  <c r="H59" i="6"/>
  <c r="I59" i="6"/>
  <c r="H177" i="6"/>
  <c r="I177" i="6"/>
  <c r="H115" i="6"/>
  <c r="I115" i="6"/>
  <c r="H175" i="6"/>
  <c r="I175" i="6"/>
  <c r="H109" i="6"/>
  <c r="I109" i="6"/>
  <c r="H126" i="6"/>
  <c r="I126" i="6"/>
  <c r="H178" i="6"/>
  <c r="I178" i="6"/>
  <c r="H179" i="6"/>
  <c r="I179" i="6"/>
  <c r="H180" i="6"/>
  <c r="I180" i="6"/>
  <c r="H181" i="6"/>
  <c r="I181" i="6"/>
  <c r="H182" i="6"/>
  <c r="I182" i="6"/>
  <c r="H174" i="6"/>
  <c r="I174" i="6"/>
  <c r="H154" i="6"/>
  <c r="I154" i="6"/>
  <c r="H183" i="6"/>
  <c r="I183" i="6"/>
  <c r="H184" i="6"/>
  <c r="I184" i="6"/>
  <c r="H185" i="6"/>
  <c r="I185" i="6"/>
  <c r="H186" i="6"/>
  <c r="I186" i="6"/>
  <c r="H103" i="6"/>
  <c r="I103" i="6"/>
  <c r="H172" i="6"/>
  <c r="I172" i="6"/>
  <c r="H74" i="6"/>
  <c r="I74" i="6"/>
  <c r="H132" i="6"/>
  <c r="I132" i="6"/>
  <c r="M11" i="6"/>
  <c r="M22" i="6"/>
  <c r="M39" i="6"/>
  <c r="M33" i="6"/>
  <c r="M30" i="6"/>
  <c r="M52" i="6"/>
  <c r="M51" i="6"/>
  <c r="M49" i="6"/>
  <c r="M50" i="6"/>
  <c r="M58" i="6"/>
  <c r="M47" i="6"/>
  <c r="M56" i="6"/>
  <c r="M54" i="6"/>
  <c r="M68" i="6"/>
  <c r="M65" i="6"/>
  <c r="M61" i="6"/>
  <c r="M27" i="6"/>
  <c r="M62" i="6"/>
  <c r="M71" i="6"/>
  <c r="M64" i="6"/>
  <c r="M44" i="6"/>
  <c r="M66" i="6"/>
  <c r="M77" i="6"/>
  <c r="M72" i="6"/>
  <c r="M70" i="6"/>
  <c r="M82" i="6"/>
  <c r="M83" i="6"/>
  <c r="M73" i="6"/>
  <c r="M84" i="6"/>
  <c r="M75" i="6"/>
  <c r="M85" i="6"/>
  <c r="M89" i="6"/>
  <c r="M76" i="6"/>
  <c r="M46" i="6"/>
  <c r="M93" i="6"/>
  <c r="M80" i="6"/>
  <c r="M81" i="6"/>
  <c r="M97" i="6"/>
  <c r="M87" i="6"/>
  <c r="M95" i="6"/>
  <c r="M88" i="6"/>
  <c r="M104" i="6"/>
  <c r="M94" i="6"/>
  <c r="M106" i="6"/>
  <c r="M99" i="6"/>
  <c r="M98" i="6"/>
  <c r="M100" i="6"/>
  <c r="M102" i="6"/>
  <c r="M96" i="6"/>
  <c r="M105" i="6"/>
  <c r="M78" i="6"/>
  <c r="M63" i="6"/>
  <c r="M108" i="6"/>
  <c r="M112" i="6"/>
  <c r="M114" i="6"/>
  <c r="M111" i="6"/>
  <c r="M113" i="6"/>
  <c r="M118" i="6"/>
  <c r="M116" i="6"/>
  <c r="M119" i="6"/>
  <c r="M117" i="6"/>
  <c r="M120" i="6"/>
  <c r="M121" i="6"/>
  <c r="M127" i="6"/>
  <c r="M125" i="6"/>
  <c r="M128" i="6"/>
  <c r="M133" i="6"/>
  <c r="M130" i="6"/>
  <c r="M134" i="6"/>
  <c r="M136" i="6"/>
  <c r="M140" i="6"/>
  <c r="M142" i="6"/>
  <c r="M141" i="6"/>
  <c r="M144" i="6"/>
  <c r="M143" i="6"/>
  <c r="M101" i="6"/>
  <c r="M145" i="6"/>
  <c r="M147" i="6"/>
  <c r="M148" i="6"/>
  <c r="M149" i="6"/>
  <c r="M150" i="6"/>
  <c r="M152" i="6"/>
  <c r="M155" i="6"/>
  <c r="M156" i="6"/>
  <c r="M158" i="6"/>
  <c r="M160" i="6"/>
  <c r="M161" i="6"/>
  <c r="M162" i="6"/>
  <c r="M163" i="6"/>
  <c r="M165" i="6"/>
  <c r="M166" i="6"/>
  <c r="M167" i="6"/>
  <c r="M168" i="6"/>
  <c r="M169" i="6"/>
  <c r="M170" i="6"/>
  <c r="M171" i="6"/>
  <c r="M187" i="6"/>
  <c r="M188" i="6"/>
  <c r="M139" i="6"/>
  <c r="M153" i="6"/>
  <c r="M189" i="6"/>
  <c r="M190" i="6"/>
  <c r="M191" i="6"/>
  <c r="M192" i="6"/>
  <c r="M193" i="6"/>
  <c r="M194" i="6"/>
  <c r="M195" i="6"/>
  <c r="I40" i="14"/>
  <c r="I53" i="14"/>
  <c r="I15" i="14"/>
  <c r="I16" i="14"/>
  <c r="C19" i="14"/>
  <c r="C49" i="14"/>
  <c r="C12" i="14"/>
  <c r="C13" i="14"/>
  <c r="C58" i="14"/>
  <c r="C40" i="14"/>
  <c r="C39" i="14"/>
  <c r="C23" i="14"/>
  <c r="C24" i="14"/>
  <c r="C46" i="14"/>
  <c r="C42" i="14"/>
  <c r="C55" i="14"/>
  <c r="C18" i="14"/>
  <c r="C44" i="14"/>
  <c r="C29" i="14"/>
  <c r="C61" i="14"/>
  <c r="C31" i="14"/>
  <c r="C37" i="14"/>
  <c r="C16" i="14"/>
  <c r="C20" i="14"/>
  <c r="C15" i="14"/>
  <c r="C17" i="14"/>
  <c r="C28" i="14"/>
  <c r="C26" i="14"/>
  <c r="C54" i="14"/>
  <c r="C22" i="14"/>
  <c r="C27" i="14"/>
  <c r="C38" i="14"/>
  <c r="C45" i="14"/>
  <c r="C52" i="14"/>
  <c r="C36" i="14"/>
  <c r="C41" i="14"/>
  <c r="C59" i="14"/>
  <c r="C14" i="14"/>
  <c r="C30" i="14"/>
  <c r="C34" i="14"/>
  <c r="C56" i="14"/>
  <c r="C62" i="14"/>
  <c r="C57" i="14"/>
  <c r="C60" i="14"/>
  <c r="C33" i="14"/>
  <c r="C63" i="14"/>
  <c r="C48" i="14"/>
  <c r="C69" i="14"/>
  <c r="C66" i="14"/>
  <c r="C68" i="14"/>
  <c r="C51" i="14"/>
  <c r="C43" i="14"/>
  <c r="C25" i="14"/>
  <c r="C50" i="14"/>
  <c r="C35" i="14"/>
  <c r="C47" i="14"/>
  <c r="C67" i="14"/>
  <c r="C65" i="14"/>
  <c r="C64" i="14"/>
  <c r="C53" i="14"/>
  <c r="C32" i="14"/>
  <c r="C21" i="14"/>
  <c r="C176" i="6"/>
  <c r="D176" i="6"/>
  <c r="F176" i="6"/>
  <c r="C59" i="6"/>
  <c r="D59" i="6"/>
  <c r="F59" i="6"/>
  <c r="C177" i="6"/>
  <c r="D177" i="6"/>
  <c r="F177" i="6"/>
  <c r="C115" i="6"/>
  <c r="D115" i="6"/>
  <c r="F115" i="6"/>
  <c r="C175" i="6"/>
  <c r="D175" i="6"/>
  <c r="F175" i="6"/>
  <c r="C109" i="6"/>
  <c r="D109" i="6"/>
  <c r="F109" i="6"/>
  <c r="C126" i="6"/>
  <c r="D126" i="6"/>
  <c r="F126" i="6"/>
  <c r="C178" i="6"/>
  <c r="D178" i="6"/>
  <c r="F178" i="6"/>
  <c r="C179" i="6"/>
  <c r="D179" i="6"/>
  <c r="F179" i="6"/>
  <c r="C180" i="6"/>
  <c r="D180" i="6"/>
  <c r="F180" i="6"/>
  <c r="C181" i="6"/>
  <c r="D181" i="6"/>
  <c r="F181" i="6"/>
  <c r="C182" i="6"/>
  <c r="D182" i="6"/>
  <c r="F182" i="6"/>
  <c r="C174" i="6"/>
  <c r="D174" i="6"/>
  <c r="F174" i="6"/>
  <c r="C154" i="6"/>
  <c r="D154" i="6"/>
  <c r="F154" i="6"/>
  <c r="C183" i="6"/>
  <c r="D183" i="6"/>
  <c r="F183" i="6"/>
  <c r="C184" i="6"/>
  <c r="D184" i="6"/>
  <c r="F184" i="6"/>
  <c r="C185" i="6"/>
  <c r="D185" i="6"/>
  <c r="F185" i="6"/>
  <c r="C186" i="6"/>
  <c r="D186" i="6"/>
  <c r="F186" i="6"/>
  <c r="B19" i="14"/>
  <c r="B49" i="14"/>
  <c r="B12" i="14"/>
  <c r="B13" i="14"/>
  <c r="B58" i="14"/>
  <c r="B40" i="14"/>
  <c r="B39" i="14"/>
  <c r="B23" i="14"/>
  <c r="B24" i="14"/>
  <c r="B46" i="14"/>
  <c r="B42" i="14"/>
  <c r="B55" i="14"/>
  <c r="B18" i="14"/>
  <c r="B44" i="14"/>
  <c r="B29" i="14"/>
  <c r="B61" i="14"/>
  <c r="B31" i="14"/>
  <c r="B37" i="14"/>
  <c r="B16" i="14"/>
  <c r="B20" i="14"/>
  <c r="B15" i="14"/>
  <c r="B17" i="14"/>
  <c r="B28" i="14"/>
  <c r="B26" i="14"/>
  <c r="B54" i="14"/>
  <c r="B22" i="14"/>
  <c r="B27" i="14"/>
  <c r="B38" i="14"/>
  <c r="B45" i="14"/>
  <c r="B52" i="14"/>
  <c r="B36" i="14"/>
  <c r="B41" i="14"/>
  <c r="B59" i="14"/>
  <c r="B14" i="14"/>
  <c r="B30" i="14"/>
  <c r="B34" i="14"/>
  <c r="B56" i="14"/>
  <c r="B62" i="14"/>
  <c r="B57" i="14"/>
  <c r="B60" i="14"/>
  <c r="B33" i="14"/>
  <c r="B63" i="14"/>
  <c r="B48" i="14"/>
  <c r="B69" i="14"/>
  <c r="B66" i="14"/>
  <c r="B68" i="14"/>
  <c r="B51" i="14"/>
  <c r="B43" i="14"/>
  <c r="B25" i="14"/>
  <c r="B50" i="14"/>
  <c r="B35" i="14"/>
  <c r="B47" i="14"/>
  <c r="B67" i="14"/>
  <c r="B65" i="14"/>
  <c r="B64" i="14"/>
  <c r="B53" i="14"/>
  <c r="B32" i="14"/>
  <c r="B21" i="14"/>
  <c r="J69" i="14"/>
  <c r="M65" i="14"/>
  <c r="O65" i="14"/>
  <c r="J64" i="14"/>
  <c r="M66" i="14"/>
  <c r="O66" i="14"/>
  <c r="J65" i="14"/>
  <c r="M67" i="14"/>
  <c r="O67" i="14"/>
  <c r="I54" i="14"/>
  <c r="J54" i="14" s="1"/>
  <c r="M68" i="14"/>
  <c r="O68" i="14"/>
  <c r="I31" i="14"/>
  <c r="J31" i="14" s="1"/>
  <c r="M69" i="14"/>
  <c r="O69" i="14"/>
  <c r="E5" i="14"/>
  <c r="N69" i="14" s="1"/>
  <c r="L6" i="6"/>
  <c r="L8" i="6"/>
  <c r="L12" i="6"/>
  <c r="L13" i="6"/>
  <c r="L17" i="6"/>
  <c r="L25" i="6"/>
  <c r="L39" i="6"/>
  <c r="L24" i="6"/>
  <c r="L23" i="6"/>
  <c r="L40" i="6"/>
  <c r="L33" i="6"/>
  <c r="L19" i="6"/>
  <c r="L29" i="6"/>
  <c r="L28" i="6"/>
  <c r="L51" i="6"/>
  <c r="L30" i="6"/>
  <c r="L52" i="6"/>
  <c r="L49" i="6"/>
  <c r="L35" i="6"/>
  <c r="L50" i="6"/>
  <c r="L47" i="6"/>
  <c r="L27" i="6"/>
  <c r="L62" i="6"/>
  <c r="L54" i="6"/>
  <c r="L65" i="6"/>
  <c r="L37" i="6"/>
  <c r="L61" i="6"/>
  <c r="L36" i="6"/>
  <c r="L64" i="6"/>
  <c r="L44" i="6"/>
  <c r="L53" i="6"/>
  <c r="L41" i="6"/>
  <c r="L48" i="6"/>
  <c r="L66" i="6"/>
  <c r="L72" i="6"/>
  <c r="L70" i="6"/>
  <c r="L83" i="6"/>
  <c r="L84" i="6"/>
  <c r="L79" i="6"/>
  <c r="L75" i="6"/>
  <c r="L89" i="6"/>
  <c r="L94" i="6"/>
  <c r="L76" i="6"/>
  <c r="L46" i="6"/>
  <c r="L90" i="6"/>
  <c r="L80" i="6"/>
  <c r="L91" i="6"/>
  <c r="L55" i="6"/>
  <c r="L98" i="6"/>
  <c r="L100" i="6"/>
  <c r="L81" i="6"/>
  <c r="L102" i="6"/>
  <c r="L87" i="6"/>
  <c r="L95" i="6"/>
  <c r="L88" i="6"/>
  <c r="L104" i="6"/>
  <c r="L106" i="6"/>
  <c r="L63" i="6"/>
  <c r="L99" i="6"/>
  <c r="L108" i="6"/>
  <c r="L105" i="6"/>
  <c r="L67" i="6"/>
  <c r="L111" i="6"/>
  <c r="L116" i="6"/>
  <c r="L110" i="6"/>
  <c r="L112" i="6"/>
  <c r="L114" i="6"/>
  <c r="L121" i="6"/>
  <c r="L118" i="6"/>
  <c r="L119" i="6"/>
  <c r="L117" i="6"/>
  <c r="L120" i="6"/>
  <c r="L125" i="6"/>
  <c r="L127" i="6"/>
  <c r="L130" i="6"/>
  <c r="L134" i="6"/>
  <c r="L128" i="6"/>
  <c r="L133" i="6"/>
  <c r="L136" i="6"/>
  <c r="L140" i="6"/>
  <c r="L124" i="6"/>
  <c r="L141" i="6"/>
  <c r="L142" i="6"/>
  <c r="L144" i="6"/>
  <c r="L143" i="6"/>
  <c r="L145" i="6"/>
  <c r="L101" i="6"/>
  <c r="L147" i="6"/>
  <c r="L148" i="6"/>
  <c r="L150" i="6"/>
  <c r="L149" i="6"/>
  <c r="L152" i="6"/>
  <c r="L155" i="6"/>
  <c r="L156" i="6"/>
  <c r="L158" i="6"/>
  <c r="L160" i="6"/>
  <c r="L161" i="6"/>
  <c r="L162" i="6"/>
  <c r="L163" i="6"/>
  <c r="L165" i="6"/>
  <c r="L166" i="6"/>
  <c r="L167" i="6"/>
  <c r="L168" i="6"/>
  <c r="L169" i="6"/>
  <c r="L170" i="6"/>
  <c r="L171" i="6"/>
  <c r="L187" i="6"/>
  <c r="L188" i="6"/>
  <c r="L139" i="6"/>
  <c r="L153" i="6"/>
  <c r="L189" i="6"/>
  <c r="L190" i="6"/>
  <c r="L191" i="6"/>
  <c r="L192" i="6"/>
  <c r="L193" i="6"/>
  <c r="L194" i="6"/>
  <c r="L195" i="6"/>
  <c r="K58" i="6"/>
  <c r="K47" i="6"/>
  <c r="K56" i="6"/>
  <c r="K27" i="6"/>
  <c r="K62" i="6"/>
  <c r="K54" i="6"/>
  <c r="K68" i="6"/>
  <c r="K37" i="6"/>
  <c r="K61" i="6"/>
  <c r="K71" i="6"/>
  <c r="K36" i="6"/>
  <c r="K64" i="6"/>
  <c r="K73" i="6"/>
  <c r="K44" i="6"/>
  <c r="K41" i="6"/>
  <c r="K66" i="6"/>
  <c r="K77" i="6"/>
  <c r="K72" i="6"/>
  <c r="K70" i="6"/>
  <c r="K82" i="6"/>
  <c r="K75" i="6"/>
  <c r="K85" i="6"/>
  <c r="K94" i="6"/>
  <c r="K76" i="6"/>
  <c r="K46" i="6"/>
  <c r="K93" i="6"/>
  <c r="K80" i="6"/>
  <c r="K98" i="6"/>
  <c r="K57" i="6"/>
  <c r="K100" i="6"/>
  <c r="K81" i="6"/>
  <c r="K102" i="6"/>
  <c r="K96" i="6"/>
  <c r="K97" i="6"/>
  <c r="K87" i="6"/>
  <c r="K95" i="6"/>
  <c r="K88" i="6"/>
  <c r="K63" i="6"/>
  <c r="K99" i="6"/>
  <c r="K86" i="6"/>
  <c r="K108" i="6"/>
  <c r="K105" i="6"/>
  <c r="K67" i="6"/>
  <c r="K111" i="6"/>
  <c r="K78" i="6"/>
  <c r="K116" i="6"/>
  <c r="K110" i="6"/>
  <c r="K112" i="6"/>
  <c r="K114" i="6"/>
  <c r="K113" i="6"/>
  <c r="K121" i="6"/>
  <c r="K118" i="6"/>
  <c r="K119" i="6"/>
  <c r="K117" i="6"/>
  <c r="K120" i="6"/>
  <c r="K125" i="6"/>
  <c r="K127" i="6"/>
  <c r="K130" i="6"/>
  <c r="K134" i="6"/>
  <c r="K128" i="6"/>
  <c r="K133" i="6"/>
  <c r="K136" i="6"/>
  <c r="K140" i="6"/>
  <c r="K124" i="6"/>
  <c r="K141" i="6"/>
  <c r="K142" i="6"/>
  <c r="K144" i="6"/>
  <c r="K143" i="6"/>
  <c r="K145" i="6"/>
  <c r="K101" i="6"/>
  <c r="K147" i="6"/>
  <c r="K148" i="6"/>
  <c r="K150" i="6"/>
  <c r="K149" i="6"/>
  <c r="K152" i="6"/>
  <c r="K155" i="6"/>
  <c r="K156" i="6"/>
  <c r="K158" i="6"/>
  <c r="K160" i="6"/>
  <c r="K161" i="6"/>
  <c r="K162" i="6"/>
  <c r="K163" i="6"/>
  <c r="K165" i="6"/>
  <c r="K166" i="6"/>
  <c r="K167" i="6"/>
  <c r="K168" i="6"/>
  <c r="K169" i="6"/>
  <c r="K170" i="6"/>
  <c r="K171" i="6"/>
  <c r="K187" i="6"/>
  <c r="K188" i="6"/>
  <c r="K139" i="6"/>
  <c r="K153" i="6"/>
  <c r="K189" i="6"/>
  <c r="K190" i="6"/>
  <c r="K191" i="6"/>
  <c r="K192" i="6"/>
  <c r="K193" i="6"/>
  <c r="K194" i="6"/>
  <c r="K195" i="6"/>
  <c r="K11" i="6"/>
  <c r="K8" i="6"/>
  <c r="K20" i="6"/>
  <c r="K16" i="6"/>
  <c r="K12" i="6"/>
  <c r="K13" i="6"/>
  <c r="K17" i="6"/>
  <c r="K25" i="6"/>
  <c r="K32" i="6"/>
  <c r="K39" i="6"/>
  <c r="K24" i="6"/>
  <c r="K18" i="6"/>
  <c r="K33" i="6"/>
  <c r="K19" i="6"/>
  <c r="K26" i="6"/>
  <c r="K31" i="6"/>
  <c r="K29" i="6"/>
  <c r="K43" i="6"/>
  <c r="K28" i="6"/>
  <c r="K51" i="6"/>
  <c r="K30" i="6"/>
  <c r="K52" i="6"/>
  <c r="K49" i="6"/>
  <c r="K35" i="6"/>
  <c r="K50" i="6"/>
  <c r="K10" i="6"/>
  <c r="I58" i="6"/>
  <c r="I47" i="6"/>
  <c r="I56" i="6"/>
  <c r="I62" i="6"/>
  <c r="I54" i="6"/>
  <c r="I68" i="6"/>
  <c r="I65" i="6"/>
  <c r="I61" i="6"/>
  <c r="I71" i="6"/>
  <c r="I64" i="6"/>
  <c r="I73" i="6"/>
  <c r="I53" i="6"/>
  <c r="I48" i="6"/>
  <c r="I66" i="6"/>
  <c r="I77" i="6"/>
  <c r="I82" i="6"/>
  <c r="I83" i="6"/>
  <c r="I84" i="6"/>
  <c r="I79" i="6"/>
  <c r="I75" i="6"/>
  <c r="I85" i="6"/>
  <c r="I89" i="6"/>
  <c r="I94" i="6"/>
  <c r="I76" i="6"/>
  <c r="I93" i="6"/>
  <c r="I90" i="6"/>
  <c r="I80" i="6"/>
  <c r="I91" i="6"/>
  <c r="I55" i="6"/>
  <c r="I98" i="6"/>
  <c r="I57" i="6"/>
  <c r="I100" i="6"/>
  <c r="I81" i="6"/>
  <c r="I102" i="6"/>
  <c r="I96" i="6"/>
  <c r="I97" i="6"/>
  <c r="I87" i="6"/>
  <c r="I95" i="6"/>
  <c r="I104" i="6"/>
  <c r="I106" i="6"/>
  <c r="I63" i="6"/>
  <c r="I99" i="6"/>
  <c r="I86" i="6"/>
  <c r="I108" i="6"/>
  <c r="I105" i="6"/>
  <c r="I111" i="6"/>
  <c r="I78" i="6"/>
  <c r="I116" i="6"/>
  <c r="I114" i="6"/>
  <c r="I113" i="6"/>
  <c r="I121" i="6"/>
  <c r="I119" i="6"/>
  <c r="I117" i="6"/>
  <c r="I125" i="6"/>
  <c r="I130" i="6"/>
  <c r="I134" i="6"/>
  <c r="I128" i="6"/>
  <c r="I133" i="6"/>
  <c r="I136" i="6"/>
  <c r="I140" i="6"/>
  <c r="I124" i="6"/>
  <c r="I141" i="6"/>
  <c r="I142" i="6"/>
  <c r="I144" i="6"/>
  <c r="I143" i="6"/>
  <c r="I145" i="6"/>
  <c r="I101" i="6"/>
  <c r="I147" i="6"/>
  <c r="I148" i="6"/>
  <c r="I150" i="6"/>
  <c r="I149" i="6"/>
  <c r="I152" i="6"/>
  <c r="I155" i="6"/>
  <c r="I156" i="6"/>
  <c r="I158" i="6"/>
  <c r="I160" i="6"/>
  <c r="I161" i="6"/>
  <c r="I162" i="6"/>
  <c r="I163" i="6"/>
  <c r="I165" i="6"/>
  <c r="I166" i="6"/>
  <c r="I167" i="6"/>
  <c r="I168" i="6"/>
  <c r="I169" i="6"/>
  <c r="I170" i="6"/>
  <c r="I171" i="6"/>
  <c r="I187" i="6"/>
  <c r="I188" i="6"/>
  <c r="I139" i="6"/>
  <c r="I153" i="6"/>
  <c r="I189" i="6"/>
  <c r="I190" i="6"/>
  <c r="I191" i="6"/>
  <c r="I192" i="6"/>
  <c r="I193" i="6"/>
  <c r="I194" i="6"/>
  <c r="I195" i="6"/>
  <c r="I22" i="6"/>
  <c r="I20" i="6"/>
  <c r="I21" i="6"/>
  <c r="I32" i="6"/>
  <c r="I39" i="6"/>
  <c r="I24" i="6"/>
  <c r="I23" i="6"/>
  <c r="I18" i="6"/>
  <c r="I40" i="6"/>
  <c r="I19" i="6"/>
  <c r="I31" i="6"/>
  <c r="I43" i="6"/>
  <c r="I28" i="6"/>
  <c r="I51" i="6"/>
  <c r="I30" i="6"/>
  <c r="I49" i="6"/>
  <c r="I50" i="6"/>
  <c r="H58" i="6"/>
  <c r="H47" i="6"/>
  <c r="H56" i="6"/>
  <c r="H62" i="6"/>
  <c r="H68" i="6"/>
  <c r="H65" i="6"/>
  <c r="H37" i="6"/>
  <c r="H71" i="6"/>
  <c r="H36" i="6"/>
  <c r="H73" i="6"/>
  <c r="H53" i="6"/>
  <c r="H48" i="6"/>
  <c r="H66" i="6"/>
  <c r="H77" i="6"/>
  <c r="H70" i="6"/>
  <c r="H82" i="6"/>
  <c r="H83" i="6"/>
  <c r="H84" i="6"/>
  <c r="H85" i="6"/>
  <c r="H89" i="6"/>
  <c r="H94" i="6"/>
  <c r="H76" i="6"/>
  <c r="H46" i="6"/>
  <c r="H93" i="6"/>
  <c r="H90" i="6"/>
  <c r="H91" i="6"/>
  <c r="H55" i="6"/>
  <c r="H98" i="6"/>
  <c r="H57" i="6"/>
  <c r="H100" i="6"/>
  <c r="H81" i="6"/>
  <c r="H102" i="6"/>
  <c r="H96" i="6"/>
  <c r="H97" i="6"/>
  <c r="H87" i="6"/>
  <c r="H88" i="6"/>
  <c r="H104" i="6"/>
  <c r="H106" i="6"/>
  <c r="H63" i="6"/>
  <c r="H86" i="6"/>
  <c r="H108" i="6"/>
  <c r="H111" i="6"/>
  <c r="H78" i="6"/>
  <c r="H116" i="6"/>
  <c r="H110" i="6"/>
  <c r="H112" i="6"/>
  <c r="H113" i="6"/>
  <c r="H121" i="6"/>
  <c r="H118" i="6"/>
  <c r="H117" i="6"/>
  <c r="H120" i="6"/>
  <c r="H125" i="6"/>
  <c r="H127" i="6"/>
  <c r="H130" i="6"/>
  <c r="H134" i="6"/>
  <c r="H128" i="6"/>
  <c r="H136" i="6"/>
  <c r="H140" i="6"/>
  <c r="H141" i="6"/>
  <c r="H143" i="6"/>
  <c r="H145" i="6"/>
  <c r="H147" i="6"/>
  <c r="H149" i="6"/>
  <c r="H152" i="6"/>
  <c r="H155" i="6"/>
  <c r="H165" i="6"/>
  <c r="H166" i="6"/>
  <c r="H167" i="6"/>
  <c r="H168" i="6"/>
  <c r="H169" i="6"/>
  <c r="H170" i="6"/>
  <c r="H187" i="6"/>
  <c r="H188" i="6"/>
  <c r="H139" i="6"/>
  <c r="H153" i="6"/>
  <c r="H189" i="6"/>
  <c r="H190" i="6"/>
  <c r="H191" i="6"/>
  <c r="H192" i="6"/>
  <c r="H193" i="6"/>
  <c r="H194" i="6"/>
  <c r="H195" i="6"/>
  <c r="H6" i="6"/>
  <c r="H14" i="6"/>
  <c r="H22" i="6"/>
  <c r="H16" i="6"/>
  <c r="H21" i="6"/>
  <c r="H25" i="6"/>
  <c r="H32" i="6"/>
  <c r="H39" i="6"/>
  <c r="H26" i="6"/>
  <c r="H43" i="6"/>
  <c r="H28" i="6"/>
  <c r="H30" i="6"/>
  <c r="H52" i="6"/>
  <c r="N104" i="7" l="1"/>
  <c r="N115" i="7"/>
  <c r="N170" i="7"/>
  <c r="N130" i="7"/>
  <c r="N178" i="7"/>
  <c r="N165" i="7"/>
  <c r="N109" i="7"/>
  <c r="N79" i="7"/>
  <c r="N49" i="7"/>
  <c r="N147" i="7"/>
  <c r="N135" i="7"/>
  <c r="N177" i="7"/>
  <c r="N30" i="7"/>
  <c r="N33" i="7"/>
  <c r="N106" i="7"/>
  <c r="N90" i="7"/>
  <c r="N129" i="7"/>
  <c r="N59" i="7"/>
  <c r="N45" i="7"/>
  <c r="N163" i="7"/>
  <c r="N39" i="7"/>
  <c r="N125" i="7"/>
  <c r="N40" i="7"/>
  <c r="N15" i="7"/>
  <c r="N113" i="7"/>
  <c r="N96" i="7"/>
  <c r="N91" i="7"/>
  <c r="N110" i="7"/>
  <c r="N19" i="7"/>
  <c r="N137" i="7"/>
  <c r="N12" i="7"/>
  <c r="N5" i="7"/>
  <c r="N35" i="7"/>
  <c r="N145" i="7"/>
  <c r="N95" i="7"/>
  <c r="N73" i="7"/>
  <c r="N133" i="7"/>
  <c r="N82" i="7"/>
  <c r="N164" i="7"/>
  <c r="N132" i="7"/>
  <c r="N70" i="7"/>
  <c r="J168" i="6"/>
  <c r="S168" i="6" s="1"/>
  <c r="J169" i="6"/>
  <c r="S169" i="6" s="1"/>
  <c r="J91" i="6"/>
  <c r="J171" i="6"/>
  <c r="S171" i="6" s="1"/>
  <c r="J57" i="6"/>
  <c r="J97" i="6"/>
  <c r="J170" i="6"/>
  <c r="S170" i="6" s="1"/>
  <c r="P69" i="14"/>
  <c r="N67" i="14"/>
  <c r="P67" i="14" s="1"/>
  <c r="N68" i="14"/>
  <c r="P68" i="14" s="1"/>
  <c r="N65" i="14"/>
  <c r="P65" i="14" s="1"/>
  <c r="N66" i="14"/>
  <c r="P66" i="14" s="1"/>
  <c r="M124" i="6" l="1"/>
  <c r="M182" i="6"/>
  <c r="Q182" i="6" s="1"/>
  <c r="M183" i="6"/>
  <c r="Q183" i="6" s="1"/>
  <c r="M181" i="6"/>
  <c r="S181" i="6" s="1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3" i="5"/>
  <c r="B34" i="5"/>
  <c r="B35" i="5"/>
  <c r="B36" i="5"/>
  <c r="B37" i="5"/>
  <c r="B38" i="5"/>
  <c r="B40" i="5"/>
  <c r="B41" i="5"/>
  <c r="B42" i="5"/>
  <c r="B43" i="5"/>
  <c r="B44" i="5"/>
  <c r="B45" i="5"/>
  <c r="B48" i="5"/>
  <c r="B49" i="5"/>
  <c r="B51" i="5"/>
  <c r="B52" i="5"/>
  <c r="B53" i="5"/>
  <c r="B54" i="5"/>
  <c r="B55" i="5"/>
  <c r="B57" i="5"/>
  <c r="B58" i="5"/>
  <c r="B60" i="5"/>
  <c r="B61" i="5"/>
  <c r="B62" i="5"/>
  <c r="B64" i="5"/>
  <c r="B12" i="5"/>
  <c r="B13" i="9"/>
  <c r="B14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12" i="9"/>
  <c r="B14" i="10"/>
  <c r="B16" i="10"/>
  <c r="B15" i="10"/>
  <c r="B17" i="10"/>
  <c r="B19" i="10"/>
  <c r="B20" i="10"/>
  <c r="B18" i="10"/>
  <c r="B21" i="10"/>
  <c r="B23" i="10"/>
  <c r="B24" i="10"/>
  <c r="B22" i="10"/>
  <c r="B27" i="10"/>
  <c r="B26" i="10"/>
  <c r="B25" i="10"/>
  <c r="B28" i="10"/>
  <c r="B29" i="10"/>
  <c r="B30" i="10"/>
  <c r="B31" i="10"/>
  <c r="B32" i="10"/>
  <c r="B33" i="10"/>
  <c r="B35" i="10"/>
  <c r="B34" i="10"/>
  <c r="B36" i="10"/>
  <c r="B37" i="10"/>
  <c r="B38" i="10"/>
  <c r="B39" i="10"/>
  <c r="B40" i="10"/>
  <c r="B41" i="10"/>
  <c r="B42" i="10"/>
  <c r="B44" i="10"/>
  <c r="B43" i="10"/>
  <c r="B45" i="10"/>
  <c r="B12" i="10"/>
  <c r="B13" i="13"/>
  <c r="B14" i="13"/>
  <c r="B15" i="13"/>
  <c r="B16" i="13"/>
  <c r="B17" i="13"/>
  <c r="B18" i="13"/>
  <c r="B20" i="13"/>
  <c r="B22" i="13"/>
  <c r="B23" i="13"/>
  <c r="B24" i="13"/>
  <c r="B19" i="13"/>
  <c r="B25" i="13"/>
  <c r="B26" i="13"/>
  <c r="B27" i="13"/>
  <c r="B21" i="13"/>
  <c r="B28" i="13"/>
  <c r="B29" i="13"/>
  <c r="B30" i="13"/>
  <c r="B31" i="13"/>
  <c r="B32" i="13"/>
  <c r="B33" i="13"/>
  <c r="B34" i="13"/>
  <c r="B35" i="13"/>
  <c r="B36" i="13"/>
  <c r="B37" i="13"/>
  <c r="B38" i="13"/>
  <c r="B41" i="13"/>
  <c r="B40" i="13"/>
  <c r="B39" i="13"/>
  <c r="B12" i="13"/>
  <c r="B13" i="12"/>
  <c r="B14" i="12"/>
  <c r="B15" i="12"/>
  <c r="B16" i="12"/>
  <c r="B17" i="12"/>
  <c r="B18" i="12"/>
  <c r="B19" i="12"/>
  <c r="B20" i="12"/>
  <c r="B22" i="12"/>
  <c r="B21" i="12"/>
  <c r="B23" i="12"/>
  <c r="B24" i="12"/>
  <c r="B26" i="12"/>
  <c r="B28" i="12"/>
  <c r="B25" i="12"/>
  <c r="B29" i="12"/>
  <c r="B27" i="12"/>
  <c r="B30" i="12"/>
  <c r="B33" i="12"/>
  <c r="B31" i="12"/>
  <c r="B32" i="12"/>
  <c r="B12" i="12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49" i="17"/>
  <c r="B50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B65" i="17"/>
  <c r="B12" i="17"/>
  <c r="C77" i="6"/>
  <c r="D77" i="6"/>
  <c r="F77" i="6"/>
  <c r="C97" i="6"/>
  <c r="D97" i="6"/>
  <c r="F97" i="6"/>
  <c r="C93" i="6"/>
  <c r="D93" i="6"/>
  <c r="F93" i="6"/>
  <c r="C58" i="6"/>
  <c r="D58" i="6"/>
  <c r="F58" i="6"/>
  <c r="C78" i="6"/>
  <c r="D78" i="6"/>
  <c r="F78" i="6"/>
  <c r="C85" i="6"/>
  <c r="D85" i="6"/>
  <c r="F85" i="6"/>
  <c r="C57" i="6"/>
  <c r="D57" i="6"/>
  <c r="F57" i="6"/>
  <c r="C68" i="6"/>
  <c r="D68" i="6"/>
  <c r="F68" i="6"/>
  <c r="C71" i="6"/>
  <c r="D71" i="6"/>
  <c r="F71" i="6"/>
  <c r="C113" i="6"/>
  <c r="D113" i="6"/>
  <c r="F113" i="6"/>
  <c r="C86" i="6"/>
  <c r="D86" i="6"/>
  <c r="F86" i="6"/>
  <c r="C82" i="6"/>
  <c r="D82" i="6"/>
  <c r="F82" i="6"/>
  <c r="C13" i="12"/>
  <c r="I13" i="12" s="1"/>
  <c r="J13" i="12" s="1"/>
  <c r="C15" i="12"/>
  <c r="I15" i="12" s="1"/>
  <c r="J15" i="12" s="1"/>
  <c r="C17" i="12"/>
  <c r="I17" i="12" s="1"/>
  <c r="J17" i="12" s="1"/>
  <c r="C18" i="12"/>
  <c r="I18" i="12" s="1"/>
  <c r="J18" i="12" s="1"/>
  <c r="C13" i="13"/>
  <c r="I13" i="13" s="1"/>
  <c r="C14" i="13"/>
  <c r="I14" i="13" s="1"/>
  <c r="J14" i="13" s="1"/>
  <c r="C15" i="13"/>
  <c r="I15" i="13" s="1"/>
  <c r="J15" i="13" s="1"/>
  <c r="C16" i="13"/>
  <c r="I16" i="13" s="1"/>
  <c r="J16" i="13" s="1"/>
  <c r="C18" i="13"/>
  <c r="I18" i="13" s="1"/>
  <c r="J18" i="13" s="1"/>
  <c r="C17" i="13"/>
  <c r="I17" i="13" s="1"/>
  <c r="J17" i="13" s="1"/>
  <c r="C22" i="13"/>
  <c r="I22" i="13" s="1"/>
  <c r="J22" i="13" s="1"/>
  <c r="C20" i="13"/>
  <c r="I20" i="13" s="1"/>
  <c r="J20" i="13" s="1"/>
  <c r="C23" i="13"/>
  <c r="I23" i="13" s="1"/>
  <c r="J23" i="13" s="1"/>
  <c r="C24" i="13"/>
  <c r="I24" i="13" s="1"/>
  <c r="J24" i="13" s="1"/>
  <c r="C19" i="13"/>
  <c r="I19" i="13" s="1"/>
  <c r="J19" i="13" s="1"/>
  <c r="C25" i="13"/>
  <c r="I25" i="13" s="1"/>
  <c r="J25" i="13" s="1"/>
  <c r="C27" i="13"/>
  <c r="I27" i="13" s="1"/>
  <c r="J27" i="13" s="1"/>
  <c r="C21" i="13"/>
  <c r="I21" i="13" s="1"/>
  <c r="J21" i="13" s="1"/>
  <c r="C28" i="13"/>
  <c r="I28" i="13" s="1"/>
  <c r="J28" i="13" s="1"/>
  <c r="C30" i="13"/>
  <c r="I30" i="13" s="1"/>
  <c r="J30" i="13" s="1"/>
  <c r="C32" i="13"/>
  <c r="I32" i="13" s="1"/>
  <c r="J32" i="13" s="1"/>
  <c r="C33" i="13"/>
  <c r="I33" i="13" s="1"/>
  <c r="J33" i="13" s="1"/>
  <c r="C41" i="13"/>
  <c r="I41" i="13" s="1"/>
  <c r="J41" i="13" s="1"/>
  <c r="C26" i="13"/>
  <c r="I26" i="13" s="1"/>
  <c r="J26" i="13" s="1"/>
  <c r="C29" i="13"/>
  <c r="I29" i="13" s="1"/>
  <c r="J29" i="13" s="1"/>
  <c r="C31" i="13"/>
  <c r="I31" i="13" s="1"/>
  <c r="J31" i="13" s="1"/>
  <c r="C34" i="13"/>
  <c r="I34" i="13" s="1"/>
  <c r="J34" i="13" s="1"/>
  <c r="C37" i="13"/>
  <c r="I37" i="13" s="1"/>
  <c r="J37" i="13" s="1"/>
  <c r="C40" i="13"/>
  <c r="I40" i="13" s="1"/>
  <c r="J40" i="13" s="1"/>
  <c r="C35" i="13"/>
  <c r="I35" i="13" s="1"/>
  <c r="J35" i="13" s="1"/>
  <c r="C36" i="13"/>
  <c r="I36" i="13" s="1"/>
  <c r="J36" i="13" s="1"/>
  <c r="C38" i="13"/>
  <c r="I38" i="13" s="1"/>
  <c r="J38" i="13" s="1"/>
  <c r="C39" i="13"/>
  <c r="I39" i="13" s="1"/>
  <c r="J39" i="13" s="1"/>
  <c r="C12" i="13"/>
  <c r="I12" i="13" s="1"/>
  <c r="J12" i="13" s="1"/>
  <c r="S182" i="6" l="1"/>
  <c r="T182" i="6" s="1"/>
  <c r="V182" i="6" s="1"/>
  <c r="S183" i="6"/>
  <c r="T183" i="6" s="1"/>
  <c r="V183" i="6" s="1"/>
  <c r="R13" i="13"/>
  <c r="J13" i="13"/>
  <c r="Q181" i="6"/>
  <c r="T181" i="6"/>
  <c r="C187" i="6"/>
  <c r="D187" i="6"/>
  <c r="F187" i="6"/>
  <c r="C155" i="6"/>
  <c r="D155" i="6"/>
  <c r="F155" i="6"/>
  <c r="C102" i="6"/>
  <c r="D102" i="6"/>
  <c r="F102" i="6"/>
  <c r="C63" i="6"/>
  <c r="D63" i="6"/>
  <c r="F63" i="6"/>
  <c r="C147" i="6"/>
  <c r="D147" i="6"/>
  <c r="F147" i="6"/>
  <c r="C143" i="6"/>
  <c r="D143" i="6"/>
  <c r="F143" i="6"/>
  <c r="C130" i="6"/>
  <c r="D130" i="6"/>
  <c r="F130" i="6"/>
  <c r="C94" i="6"/>
  <c r="D94" i="6"/>
  <c r="F94" i="6"/>
  <c r="C145" i="6"/>
  <c r="D145" i="6"/>
  <c r="F145" i="6"/>
  <c r="C121" i="6"/>
  <c r="D121" i="6"/>
  <c r="F121" i="6"/>
  <c r="C188" i="6"/>
  <c r="D188" i="6"/>
  <c r="F188" i="6"/>
  <c r="C139" i="6"/>
  <c r="D139" i="6"/>
  <c r="F139" i="6"/>
  <c r="C73" i="6"/>
  <c r="D73" i="6"/>
  <c r="F73" i="6"/>
  <c r="C98" i="6"/>
  <c r="D98" i="6"/>
  <c r="F98" i="6"/>
  <c r="C140" i="6"/>
  <c r="D140" i="6"/>
  <c r="F140" i="6"/>
  <c r="C108" i="6"/>
  <c r="D108" i="6"/>
  <c r="F108" i="6"/>
  <c r="C111" i="6"/>
  <c r="D111" i="6"/>
  <c r="F111" i="6"/>
  <c r="C153" i="6"/>
  <c r="D153" i="6"/>
  <c r="F153" i="6"/>
  <c r="C116" i="6"/>
  <c r="D116" i="6"/>
  <c r="F116" i="6"/>
  <c r="C96" i="6"/>
  <c r="D96" i="6"/>
  <c r="F96" i="6"/>
  <c r="C125" i="6"/>
  <c r="D125" i="6"/>
  <c r="F125" i="6"/>
  <c r="C189" i="6"/>
  <c r="D189" i="6"/>
  <c r="F189" i="6"/>
  <c r="C141" i="6"/>
  <c r="D141" i="6"/>
  <c r="F141" i="6"/>
  <c r="C27" i="6"/>
  <c r="D27" i="6"/>
  <c r="F27" i="6"/>
  <c r="C136" i="6"/>
  <c r="D136" i="6"/>
  <c r="F136" i="6"/>
  <c r="C190" i="6"/>
  <c r="D190" i="6"/>
  <c r="F190" i="6"/>
  <c r="C191" i="6"/>
  <c r="D191" i="6"/>
  <c r="F191" i="6"/>
  <c r="C192" i="6"/>
  <c r="D192" i="6"/>
  <c r="F192" i="6"/>
  <c r="C134" i="6"/>
  <c r="D134" i="6"/>
  <c r="F134" i="6"/>
  <c r="C193" i="6"/>
  <c r="D193" i="6"/>
  <c r="F193" i="6"/>
  <c r="C194" i="6"/>
  <c r="D194" i="6"/>
  <c r="F194" i="6"/>
  <c r="C195" i="6"/>
  <c r="D195" i="6"/>
  <c r="F195" i="6"/>
  <c r="H65" i="17"/>
  <c r="M71" i="7" l="1"/>
  <c r="M73" i="7"/>
  <c r="V181" i="6"/>
  <c r="M24" i="17"/>
  <c r="N24" i="17"/>
  <c r="O24" i="17"/>
  <c r="M21" i="17"/>
  <c r="N21" i="17"/>
  <c r="O21" i="17"/>
  <c r="M12" i="17"/>
  <c r="N12" i="17"/>
  <c r="O12" i="17"/>
  <c r="M39" i="17"/>
  <c r="N39" i="17"/>
  <c r="O39" i="17"/>
  <c r="M36" i="17"/>
  <c r="N36" i="17"/>
  <c r="O36" i="17"/>
  <c r="M29" i="17"/>
  <c r="N29" i="17"/>
  <c r="O29" i="17"/>
  <c r="M47" i="17"/>
  <c r="N47" i="17"/>
  <c r="O47" i="17"/>
  <c r="M19" i="17"/>
  <c r="N19" i="17"/>
  <c r="O19" i="17"/>
  <c r="M52" i="17"/>
  <c r="N52" i="17"/>
  <c r="O52" i="17"/>
  <c r="M40" i="17"/>
  <c r="N40" i="17"/>
  <c r="O40" i="17"/>
  <c r="M56" i="17"/>
  <c r="N56" i="17"/>
  <c r="O56" i="17"/>
  <c r="M46" i="17"/>
  <c r="N46" i="17"/>
  <c r="O46" i="17"/>
  <c r="M14" i="17"/>
  <c r="N14" i="17"/>
  <c r="O14" i="17"/>
  <c r="M27" i="17"/>
  <c r="N27" i="17"/>
  <c r="O27" i="17"/>
  <c r="M44" i="17"/>
  <c r="N44" i="17"/>
  <c r="O44" i="17"/>
  <c r="M58" i="17"/>
  <c r="N58" i="17"/>
  <c r="O58" i="17"/>
  <c r="M60" i="17"/>
  <c r="N60" i="17"/>
  <c r="O60" i="17"/>
  <c r="M54" i="17"/>
  <c r="N54" i="17"/>
  <c r="O54" i="17"/>
  <c r="M43" i="17"/>
  <c r="N43" i="17"/>
  <c r="O43" i="17"/>
  <c r="M62" i="17"/>
  <c r="N62" i="17"/>
  <c r="O62" i="17"/>
  <c r="M61" i="17"/>
  <c r="N61" i="17"/>
  <c r="O61" i="17"/>
  <c r="M64" i="17"/>
  <c r="N64" i="17"/>
  <c r="O64" i="17"/>
  <c r="M23" i="17"/>
  <c r="N23" i="17"/>
  <c r="O23" i="17"/>
  <c r="C51" i="17"/>
  <c r="I51" i="17" s="1"/>
  <c r="H51" i="17" s="1"/>
  <c r="C31" i="17"/>
  <c r="I31" i="17" s="1"/>
  <c r="H31" i="17" s="1"/>
  <c r="C22" i="17"/>
  <c r="I22" i="17" s="1"/>
  <c r="H22" i="17" s="1"/>
  <c r="C33" i="17"/>
  <c r="I33" i="17" s="1"/>
  <c r="H33" i="17" s="1"/>
  <c r="C50" i="17"/>
  <c r="I50" i="17" s="1"/>
  <c r="H50" i="17" s="1"/>
  <c r="C48" i="17"/>
  <c r="I48" i="17" s="1"/>
  <c r="H48" i="17" s="1"/>
  <c r="C42" i="17"/>
  <c r="I42" i="17" s="1"/>
  <c r="H42" i="17" s="1"/>
  <c r="C26" i="17"/>
  <c r="I26" i="17" s="1"/>
  <c r="H26" i="17" s="1"/>
  <c r="C16" i="17"/>
  <c r="I16" i="17" s="1"/>
  <c r="H16" i="17" s="1"/>
  <c r="C41" i="17"/>
  <c r="I41" i="17" s="1"/>
  <c r="H41" i="17" s="1"/>
  <c r="C28" i="17"/>
  <c r="I28" i="17" s="1"/>
  <c r="H28" i="17" s="1"/>
  <c r="C15" i="17"/>
  <c r="I15" i="17" s="1"/>
  <c r="H15" i="17" s="1"/>
  <c r="C13" i="17"/>
  <c r="I13" i="17" s="1"/>
  <c r="H13" i="17" s="1"/>
  <c r="C18" i="17"/>
  <c r="I18" i="17" s="1"/>
  <c r="H18" i="17" s="1"/>
  <c r="C49" i="17"/>
  <c r="I49" i="17" s="1"/>
  <c r="H49" i="17" s="1"/>
  <c r="C38" i="17"/>
  <c r="I38" i="17" s="1"/>
  <c r="H38" i="17" s="1"/>
  <c r="C17" i="17"/>
  <c r="I17" i="17" s="1"/>
  <c r="H17" i="17" s="1"/>
  <c r="C53" i="17"/>
  <c r="I53" i="17" s="1"/>
  <c r="H53" i="17" s="1"/>
  <c r="C65" i="17"/>
  <c r="C57" i="17"/>
  <c r="I57" i="17" s="1"/>
  <c r="H57" i="17" s="1"/>
  <c r="C37" i="17"/>
  <c r="I37" i="17" s="1"/>
  <c r="H37" i="17" s="1"/>
  <c r="C30" i="17"/>
  <c r="I30" i="17" s="1"/>
  <c r="H30" i="17" s="1"/>
  <c r="C45" i="17"/>
  <c r="I45" i="17" s="1"/>
  <c r="H45" i="17" s="1"/>
  <c r="C34" i="17"/>
  <c r="I34" i="17" s="1"/>
  <c r="H34" i="17" s="1"/>
  <c r="C55" i="17"/>
  <c r="I55" i="17" s="1"/>
  <c r="H55" i="17" s="1"/>
  <c r="C32" i="17"/>
  <c r="I32" i="17" s="1"/>
  <c r="H32" i="17" s="1"/>
  <c r="C35" i="17"/>
  <c r="I35" i="17" s="1"/>
  <c r="H35" i="17" s="1"/>
  <c r="C20" i="17"/>
  <c r="I20" i="17" s="1"/>
  <c r="H20" i="17" s="1"/>
  <c r="C25" i="17"/>
  <c r="I25" i="17" s="1"/>
  <c r="H25" i="17" s="1"/>
  <c r="C63" i="17"/>
  <c r="I63" i="17" s="1"/>
  <c r="H63" i="17" s="1"/>
  <c r="C24" i="17"/>
  <c r="I24" i="17" s="1"/>
  <c r="H24" i="17" s="1"/>
  <c r="R24" i="17" s="1"/>
  <c r="C21" i="17"/>
  <c r="I21" i="17" s="1"/>
  <c r="H21" i="17" s="1"/>
  <c r="R21" i="17" s="1"/>
  <c r="C12" i="17"/>
  <c r="I12" i="17" s="1"/>
  <c r="H12" i="17" s="1"/>
  <c r="C39" i="17"/>
  <c r="I39" i="17" s="1"/>
  <c r="H39" i="17" s="1"/>
  <c r="R39" i="17" s="1"/>
  <c r="C36" i="17"/>
  <c r="I36" i="17" s="1"/>
  <c r="H36" i="17" s="1"/>
  <c r="C29" i="17"/>
  <c r="I29" i="17" s="1"/>
  <c r="H29" i="17" s="1"/>
  <c r="R29" i="17" s="1"/>
  <c r="C47" i="17"/>
  <c r="I47" i="17" s="1"/>
  <c r="H47" i="17" s="1"/>
  <c r="C19" i="17"/>
  <c r="I19" i="17" s="1"/>
  <c r="H19" i="17" s="1"/>
  <c r="C52" i="17"/>
  <c r="I52" i="17" s="1"/>
  <c r="H52" i="17" s="1"/>
  <c r="C40" i="17"/>
  <c r="I40" i="17" s="1"/>
  <c r="H40" i="17" s="1"/>
  <c r="C56" i="17"/>
  <c r="I56" i="17" s="1"/>
  <c r="H56" i="17" s="1"/>
  <c r="C46" i="17"/>
  <c r="I46" i="17" s="1"/>
  <c r="H46" i="17" s="1"/>
  <c r="R46" i="17" s="1"/>
  <c r="C14" i="17"/>
  <c r="I14" i="17" s="1"/>
  <c r="H14" i="17" s="1"/>
  <c r="R14" i="17" s="1"/>
  <c r="C27" i="17"/>
  <c r="I27" i="17" s="1"/>
  <c r="H27" i="17" s="1"/>
  <c r="R27" i="17" s="1"/>
  <c r="C44" i="17"/>
  <c r="I44" i="17" s="1"/>
  <c r="H44" i="17" s="1"/>
  <c r="C58" i="17"/>
  <c r="I58" i="17" s="1"/>
  <c r="H58" i="17" s="1"/>
  <c r="C60" i="17"/>
  <c r="I60" i="17" s="1"/>
  <c r="H60" i="17" s="1"/>
  <c r="C54" i="17"/>
  <c r="I54" i="17" s="1"/>
  <c r="H54" i="17" s="1"/>
  <c r="C43" i="17"/>
  <c r="I43" i="17" s="1"/>
  <c r="H43" i="17" s="1"/>
  <c r="R43" i="17" s="1"/>
  <c r="C62" i="17"/>
  <c r="I62" i="17" s="1"/>
  <c r="H62" i="17" s="1"/>
  <c r="R62" i="17" s="1"/>
  <c r="C61" i="17"/>
  <c r="I61" i="17" s="1"/>
  <c r="H61" i="17" s="1"/>
  <c r="C64" i="17"/>
  <c r="I64" i="17" s="1"/>
  <c r="H64" i="17" s="1"/>
  <c r="R64" i="17" s="1"/>
  <c r="C23" i="17"/>
  <c r="I23" i="17" s="1"/>
  <c r="H23" i="17" s="1"/>
  <c r="R61" i="17" l="1"/>
  <c r="R36" i="17"/>
  <c r="R12" i="17"/>
  <c r="P43" i="17"/>
  <c r="P54" i="17"/>
  <c r="P60" i="17"/>
  <c r="P58" i="17"/>
  <c r="P40" i="17"/>
  <c r="P52" i="17"/>
  <c r="R23" i="17"/>
  <c r="P23" i="17"/>
  <c r="P44" i="17"/>
  <c r="R44" i="17"/>
  <c r="P47" i="17"/>
  <c r="R47" i="17"/>
  <c r="P19" i="17"/>
  <c r="J28" i="6" s="1"/>
  <c r="R19" i="17"/>
  <c r="P29" i="17"/>
  <c r="P27" i="17"/>
  <c r="J62" i="6" s="1"/>
  <c r="P64" i="17"/>
  <c r="R54" i="17"/>
  <c r="P36" i="17"/>
  <c r="P61" i="17"/>
  <c r="P24" i="17"/>
  <c r="J10" i="6" s="1"/>
  <c r="P39" i="17"/>
  <c r="P62" i="17"/>
  <c r="P14" i="17"/>
  <c r="P12" i="17"/>
  <c r="R58" i="17"/>
  <c r="R40" i="17"/>
  <c r="R52" i="17"/>
  <c r="P21" i="17"/>
  <c r="P46" i="17"/>
  <c r="R60" i="17"/>
  <c r="O63" i="17"/>
  <c r="N63" i="17"/>
  <c r="M63" i="17"/>
  <c r="R63" i="17"/>
  <c r="R25" i="17"/>
  <c r="O25" i="17"/>
  <c r="N25" i="17"/>
  <c r="M25" i="17"/>
  <c r="R20" i="17"/>
  <c r="O20" i="17"/>
  <c r="N20" i="17"/>
  <c r="M20" i="17"/>
  <c r="O35" i="17"/>
  <c r="N35" i="17"/>
  <c r="M35" i="17"/>
  <c r="R35" i="17"/>
  <c r="R32" i="17"/>
  <c r="O32" i="17"/>
  <c r="N32" i="17"/>
  <c r="M32" i="17"/>
  <c r="O55" i="17"/>
  <c r="N55" i="17"/>
  <c r="M55" i="17"/>
  <c r="R55" i="17"/>
  <c r="O34" i="17"/>
  <c r="N34" i="17"/>
  <c r="M34" i="17"/>
  <c r="R34" i="17"/>
  <c r="R45" i="17"/>
  <c r="O45" i="17"/>
  <c r="N45" i="17"/>
  <c r="M45" i="17"/>
  <c r="O30" i="17"/>
  <c r="N30" i="17"/>
  <c r="M30" i="17"/>
  <c r="R30" i="17"/>
  <c r="R37" i="17"/>
  <c r="O37" i="17"/>
  <c r="N37" i="17"/>
  <c r="M37" i="17"/>
  <c r="R57" i="17"/>
  <c r="O57" i="17"/>
  <c r="N57" i="17"/>
  <c r="M57" i="17"/>
  <c r="O65" i="17"/>
  <c r="N65" i="17"/>
  <c r="M65" i="17"/>
  <c r="R65" i="17"/>
  <c r="R53" i="17"/>
  <c r="O53" i="17"/>
  <c r="N53" i="17"/>
  <c r="M53" i="17"/>
  <c r="O17" i="17"/>
  <c r="N17" i="17"/>
  <c r="M17" i="17"/>
  <c r="R17" i="17"/>
  <c r="O38" i="17"/>
  <c r="N38" i="17"/>
  <c r="M38" i="17"/>
  <c r="R38" i="17"/>
  <c r="R49" i="17"/>
  <c r="O49" i="17"/>
  <c r="N49" i="17"/>
  <c r="M49" i="17"/>
  <c r="O18" i="17"/>
  <c r="N18" i="17"/>
  <c r="M18" i="17"/>
  <c r="R18" i="17"/>
  <c r="R13" i="17"/>
  <c r="O13" i="17"/>
  <c r="N13" i="17"/>
  <c r="M13" i="17"/>
  <c r="R15" i="17"/>
  <c r="O15" i="17"/>
  <c r="N15" i="17"/>
  <c r="M15" i="17"/>
  <c r="O28" i="17"/>
  <c r="N28" i="17"/>
  <c r="M28" i="17"/>
  <c r="R28" i="17"/>
  <c r="R41" i="17"/>
  <c r="O41" i="17"/>
  <c r="N41" i="17"/>
  <c r="M41" i="17"/>
  <c r="O16" i="17"/>
  <c r="N16" i="17"/>
  <c r="M16" i="17"/>
  <c r="R16" i="17"/>
  <c r="O26" i="17"/>
  <c r="N26" i="17"/>
  <c r="M26" i="17"/>
  <c r="R26" i="17"/>
  <c r="R42" i="17"/>
  <c r="O42" i="17"/>
  <c r="N42" i="17"/>
  <c r="M42" i="17"/>
  <c r="O48" i="17"/>
  <c r="N48" i="17"/>
  <c r="M48" i="17"/>
  <c r="R48" i="17"/>
  <c r="R50" i="17"/>
  <c r="O50" i="17"/>
  <c r="N50" i="17"/>
  <c r="M50" i="17"/>
  <c r="R33" i="17"/>
  <c r="O33" i="17"/>
  <c r="N33" i="17"/>
  <c r="M33" i="17"/>
  <c r="O22" i="17"/>
  <c r="N22" i="17"/>
  <c r="M22" i="17"/>
  <c r="R22" i="17"/>
  <c r="R31" i="17"/>
  <c r="O31" i="17"/>
  <c r="N31" i="17"/>
  <c r="M31" i="17"/>
  <c r="O51" i="17"/>
  <c r="N51" i="17"/>
  <c r="M51" i="17"/>
  <c r="R51" i="17"/>
  <c r="O59" i="17"/>
  <c r="N59" i="17"/>
  <c r="M59" i="17"/>
  <c r="C59" i="17"/>
  <c r="I59" i="17" s="1"/>
  <c r="H59" i="17" s="1"/>
  <c r="R59" i="17" s="1"/>
  <c r="J43" i="6" l="1"/>
  <c r="P56" i="17"/>
  <c r="R56" i="17"/>
  <c r="J195" i="6"/>
  <c r="S195" i="6" s="1"/>
  <c r="J192" i="6"/>
  <c r="S192" i="6" s="1"/>
  <c r="J27" i="6"/>
  <c r="J136" i="6"/>
  <c r="S136" i="6" s="1"/>
  <c r="J193" i="6"/>
  <c r="S193" i="6" s="1"/>
  <c r="J141" i="6"/>
  <c r="S141" i="6" s="1"/>
  <c r="J194" i="6"/>
  <c r="S194" i="6" s="1"/>
  <c r="J191" i="6"/>
  <c r="S191" i="6" s="1"/>
  <c r="P30" i="17"/>
  <c r="P63" i="17"/>
  <c r="J150" i="6" s="1"/>
  <c r="P31" i="17"/>
  <c r="P48" i="17"/>
  <c r="P41" i="17"/>
  <c r="J134" i="6" s="1"/>
  <c r="S134" i="6" s="1"/>
  <c r="P18" i="17"/>
  <c r="P53" i="17"/>
  <c r="J189" i="6" s="1"/>
  <c r="S189" i="6" s="1"/>
  <c r="P32" i="17"/>
  <c r="J100" i="6" s="1"/>
  <c r="P28" i="17"/>
  <c r="J51" i="6" s="1"/>
  <c r="P49" i="17"/>
  <c r="P65" i="17"/>
  <c r="P45" i="17"/>
  <c r="J110" i="6" s="1"/>
  <c r="P35" i="17"/>
  <c r="J116" i="6" s="1"/>
  <c r="S116" i="6" s="1"/>
  <c r="P22" i="17"/>
  <c r="J21" i="6" s="1"/>
  <c r="P42" i="17"/>
  <c r="P51" i="17"/>
  <c r="J96" i="6" s="1"/>
  <c r="P16" i="17"/>
  <c r="J7" i="6" s="1"/>
  <c r="P17" i="17"/>
  <c r="J9" i="6" s="1"/>
  <c r="P55" i="17"/>
  <c r="J152" i="6" s="1"/>
  <c r="P25" i="17"/>
  <c r="J31" i="6" s="1"/>
  <c r="P59" i="17"/>
  <c r="P26" i="17"/>
  <c r="J25" i="6" s="1"/>
  <c r="P38" i="17"/>
  <c r="J125" i="6" s="1"/>
  <c r="S125" i="6" s="1"/>
  <c r="P34" i="17"/>
  <c r="P50" i="17"/>
  <c r="P13" i="17"/>
  <c r="J22" i="6" s="1"/>
  <c r="P37" i="17"/>
  <c r="J73" i="6" s="1"/>
  <c r="P33" i="17"/>
  <c r="P15" i="17"/>
  <c r="J39" i="6" s="1"/>
  <c r="P57" i="17"/>
  <c r="J190" i="6" s="1"/>
  <c r="S190" i="6" s="1"/>
  <c r="P20" i="17"/>
  <c r="J14" i="6" s="1"/>
  <c r="J98" i="6" l="1"/>
  <c r="S98" i="6" s="1"/>
  <c r="T98" i="6" s="1"/>
  <c r="J32" i="6"/>
  <c r="J16" i="6"/>
  <c r="J40" i="6"/>
  <c r="J20" i="6"/>
  <c r="J6" i="6"/>
  <c r="Q192" i="6"/>
  <c r="T192" i="6"/>
  <c r="Q194" i="6"/>
  <c r="T194" i="6"/>
  <c r="Q195" i="6"/>
  <c r="T195" i="6"/>
  <c r="Q125" i="6"/>
  <c r="T125" i="6"/>
  <c r="Q189" i="6"/>
  <c r="T189" i="6"/>
  <c r="Q193" i="6"/>
  <c r="T193" i="6"/>
  <c r="Q191" i="6"/>
  <c r="T191" i="6"/>
  <c r="Q134" i="6"/>
  <c r="T134" i="6"/>
  <c r="Q116" i="6"/>
  <c r="T116" i="6"/>
  <c r="Q141" i="6"/>
  <c r="T141" i="6"/>
  <c r="Q190" i="6"/>
  <c r="T190" i="6"/>
  <c r="Q136" i="6"/>
  <c r="T136" i="6"/>
  <c r="J102" i="6"/>
  <c r="S102" i="6" s="1"/>
  <c r="J147" i="6"/>
  <c r="S147" i="6" s="1"/>
  <c r="J94" i="6"/>
  <c r="S94" i="6" s="1"/>
  <c r="J108" i="6"/>
  <c r="S108" i="6" s="1"/>
  <c r="J155" i="6"/>
  <c r="S155" i="6" s="1"/>
  <c r="J188" i="6"/>
  <c r="S188" i="6" s="1"/>
  <c r="J187" i="6"/>
  <c r="S187" i="6" s="1"/>
  <c r="J121" i="6"/>
  <c r="S121" i="6" s="1"/>
  <c r="J130" i="6"/>
  <c r="S130" i="6" s="1"/>
  <c r="J139" i="6"/>
  <c r="J111" i="6"/>
  <c r="S111" i="6" s="1"/>
  <c r="J63" i="6"/>
  <c r="J140" i="6"/>
  <c r="S140" i="6" s="1"/>
  <c r="J143" i="6"/>
  <c r="S143" i="6" s="1"/>
  <c r="J145" i="6"/>
  <c r="S145" i="6" s="1"/>
  <c r="J153" i="6"/>
  <c r="S153" i="6" s="1"/>
  <c r="P67" i="17"/>
  <c r="J2" i="6" s="1"/>
  <c r="R12" i="10"/>
  <c r="R30" i="12"/>
  <c r="L40" i="7" s="1"/>
  <c r="R21" i="12"/>
  <c r="R23" i="12"/>
  <c r="L5" i="7" s="1"/>
  <c r="Q98" i="6" l="1"/>
  <c r="V98" i="6" s="1"/>
  <c r="L79" i="7"/>
  <c r="L82" i="7"/>
  <c r="K108" i="7"/>
  <c r="V190" i="6"/>
  <c r="V191" i="6"/>
  <c r="V195" i="6"/>
  <c r="V134" i="6"/>
  <c r="Q140" i="6"/>
  <c r="T140" i="6"/>
  <c r="Q108" i="6"/>
  <c r="T108" i="6"/>
  <c r="Q111" i="6"/>
  <c r="T111" i="6"/>
  <c r="V194" i="6"/>
  <c r="Q94" i="6"/>
  <c r="T94" i="6"/>
  <c r="Q147" i="6"/>
  <c r="T147" i="6"/>
  <c r="V141" i="6"/>
  <c r="Q155" i="6"/>
  <c r="T155" i="6"/>
  <c r="Q130" i="6"/>
  <c r="T130" i="6"/>
  <c r="Q102" i="6"/>
  <c r="T102" i="6"/>
  <c r="V189" i="6"/>
  <c r="Q121" i="6"/>
  <c r="T121" i="6"/>
  <c r="V192" i="6"/>
  <c r="Q153" i="6"/>
  <c r="T153" i="6"/>
  <c r="Q145" i="6"/>
  <c r="T145" i="6"/>
  <c r="Q187" i="6"/>
  <c r="T187" i="6"/>
  <c r="V136" i="6"/>
  <c r="V116" i="6"/>
  <c r="V193" i="6"/>
  <c r="V125" i="6"/>
  <c r="Q143" i="6"/>
  <c r="T143" i="6"/>
  <c r="Q188" i="6"/>
  <c r="T188" i="6"/>
  <c r="C20" i="12"/>
  <c r="I20" i="12" s="1"/>
  <c r="J20" i="12" s="1"/>
  <c r="C33" i="12"/>
  <c r="I33" i="12" s="1"/>
  <c r="J33" i="12" s="1"/>
  <c r="C26" i="12"/>
  <c r="I26" i="12" s="1"/>
  <c r="J26" i="12" s="1"/>
  <c r="C32" i="12"/>
  <c r="I32" i="12" s="1"/>
  <c r="J32" i="12" s="1"/>
  <c r="C16" i="12"/>
  <c r="I16" i="12" s="1"/>
  <c r="J16" i="12" s="1"/>
  <c r="C12" i="12"/>
  <c r="I12" i="12" s="1"/>
  <c r="J12" i="12" s="1"/>
  <c r="C28" i="12"/>
  <c r="I28" i="12" s="1"/>
  <c r="J28" i="12" s="1"/>
  <c r="C29" i="12"/>
  <c r="I29" i="12" s="1"/>
  <c r="J29" i="12" s="1"/>
  <c r="C22" i="12"/>
  <c r="I22" i="12" s="1"/>
  <c r="J22" i="12" s="1"/>
  <c r="C21" i="12"/>
  <c r="C19" i="12"/>
  <c r="I19" i="12" s="1"/>
  <c r="J19" i="12" s="1"/>
  <c r="C31" i="12"/>
  <c r="I31" i="12" s="1"/>
  <c r="J31" i="12" s="1"/>
  <c r="C30" i="12"/>
  <c r="C27" i="12"/>
  <c r="I27" i="12" s="1"/>
  <c r="J27" i="12" s="1"/>
  <c r="C24" i="12"/>
  <c r="I24" i="12" s="1"/>
  <c r="J24" i="12" s="1"/>
  <c r="C14" i="12"/>
  <c r="I14" i="12" s="1"/>
  <c r="J14" i="12" s="1"/>
  <c r="C25" i="12"/>
  <c r="I25" i="12" s="1"/>
  <c r="J25" i="12" s="1"/>
  <c r="C23" i="12"/>
  <c r="R44" i="10"/>
  <c r="R43" i="10"/>
  <c r="K119" i="7" s="1"/>
  <c r="R42" i="10"/>
  <c r="R41" i="10"/>
  <c r="K141" i="7" s="1"/>
  <c r="R40" i="10"/>
  <c r="R39" i="10"/>
  <c r="K12" i="7" s="1"/>
  <c r="R38" i="10"/>
  <c r="R37" i="10"/>
  <c r="R36" i="10"/>
  <c r="R35" i="10"/>
  <c r="R34" i="10"/>
  <c r="K146" i="7" s="1"/>
  <c r="R33" i="10"/>
  <c r="R32" i="10"/>
  <c r="K18" i="7" s="1"/>
  <c r="R31" i="10"/>
  <c r="K169" i="7" s="1"/>
  <c r="R30" i="10"/>
  <c r="R29" i="10"/>
  <c r="R28" i="10"/>
  <c r="K20" i="7" s="1"/>
  <c r="R27" i="10"/>
  <c r="R26" i="10"/>
  <c r="K30" i="7" s="1"/>
  <c r="R25" i="10"/>
  <c r="R24" i="10"/>
  <c r="R23" i="10"/>
  <c r="R22" i="10"/>
  <c r="R21" i="10"/>
  <c r="K35" i="7" s="1"/>
  <c r="R20" i="10"/>
  <c r="R19" i="10"/>
  <c r="R18" i="10"/>
  <c r="R17" i="10"/>
  <c r="K31" i="7" s="1"/>
  <c r="R16" i="10"/>
  <c r="R15" i="10"/>
  <c r="R14" i="10"/>
  <c r="K9" i="7" s="1"/>
  <c r="R13" i="10"/>
  <c r="K158" i="7" s="1"/>
  <c r="C33" i="10"/>
  <c r="I33" i="10" s="1"/>
  <c r="C27" i="10"/>
  <c r="I27" i="10" s="1"/>
  <c r="M21" i="10"/>
  <c r="N21" i="10"/>
  <c r="O21" i="10"/>
  <c r="C17" i="10"/>
  <c r="I17" i="10" s="1"/>
  <c r="C21" i="10"/>
  <c r="I21" i="10" s="1"/>
  <c r="C42" i="10"/>
  <c r="I42" i="10" s="1"/>
  <c r="C25" i="10"/>
  <c r="I25" i="10" s="1"/>
  <c r="C37" i="10"/>
  <c r="I37" i="10" s="1"/>
  <c r="C19" i="10"/>
  <c r="I19" i="10" s="1"/>
  <c r="C30" i="10"/>
  <c r="I30" i="10" s="1"/>
  <c r="C15" i="10"/>
  <c r="I15" i="10" s="1"/>
  <c r="C12" i="10"/>
  <c r="I12" i="10" s="1"/>
  <c r="C43" i="10"/>
  <c r="I43" i="10" s="1"/>
  <c r="C44" i="10"/>
  <c r="I44" i="10" s="1"/>
  <c r="C38" i="10"/>
  <c r="I38" i="10" s="1"/>
  <c r="C24" i="10"/>
  <c r="I24" i="10" s="1"/>
  <c r="C20" i="10"/>
  <c r="I20" i="10" s="1"/>
  <c r="C36" i="10"/>
  <c r="I36" i="10" s="1"/>
  <c r="C16" i="10"/>
  <c r="I16" i="10" s="1"/>
  <c r="C41" i="10"/>
  <c r="I41" i="10" s="1"/>
  <c r="C18" i="10"/>
  <c r="I18" i="10" s="1"/>
  <c r="C34" i="10"/>
  <c r="I34" i="10" s="1"/>
  <c r="C22" i="10"/>
  <c r="I22" i="10" s="1"/>
  <c r="C29" i="10"/>
  <c r="I29" i="10" s="1"/>
  <c r="C40" i="10"/>
  <c r="I40" i="10" s="1"/>
  <c r="C45" i="10"/>
  <c r="I45" i="10" s="1"/>
  <c r="C31" i="10"/>
  <c r="I31" i="10" s="1"/>
  <c r="C35" i="10"/>
  <c r="I35" i="10" s="1"/>
  <c r="C39" i="10"/>
  <c r="I39" i="10" s="1"/>
  <c r="C23" i="10"/>
  <c r="I23" i="10" s="1"/>
  <c r="J23" i="10" s="1"/>
  <c r="C32" i="10"/>
  <c r="I32" i="10" s="1"/>
  <c r="C28" i="10"/>
  <c r="I28" i="10" s="1"/>
  <c r="C26" i="10"/>
  <c r="I26" i="10" s="1"/>
  <c r="C14" i="10"/>
  <c r="I14" i="10" s="1"/>
  <c r="C51" i="5"/>
  <c r="I51" i="5" s="1"/>
  <c r="J51" i="5" s="1"/>
  <c r="M58" i="5"/>
  <c r="N58" i="5"/>
  <c r="O58" i="5"/>
  <c r="R58" i="5"/>
  <c r="R12" i="5"/>
  <c r="R13" i="9"/>
  <c r="J127" i="7" s="1"/>
  <c r="R14" i="9"/>
  <c r="R24" i="9"/>
  <c r="R42" i="9"/>
  <c r="R57" i="9"/>
  <c r="R58" i="9"/>
  <c r="J98" i="7" s="1"/>
  <c r="R59" i="9"/>
  <c r="J10" i="7" s="1"/>
  <c r="R60" i="9"/>
  <c r="J41" i="7" s="1"/>
  <c r="R61" i="9"/>
  <c r="J14" i="7" s="1"/>
  <c r="R65" i="9"/>
  <c r="R66" i="9"/>
  <c r="R12" i="9"/>
  <c r="J28" i="7" s="1"/>
  <c r="C13" i="5"/>
  <c r="I13" i="5" s="1"/>
  <c r="C14" i="5"/>
  <c r="I14" i="5" s="1"/>
  <c r="C15" i="5"/>
  <c r="I15" i="5" s="1"/>
  <c r="C18" i="5"/>
  <c r="I18" i="5" s="1"/>
  <c r="C16" i="5"/>
  <c r="I16" i="5" s="1"/>
  <c r="C17" i="5"/>
  <c r="I17" i="5" s="1"/>
  <c r="C19" i="5"/>
  <c r="I19" i="5" s="1"/>
  <c r="C21" i="5"/>
  <c r="I21" i="5" s="1"/>
  <c r="C22" i="5"/>
  <c r="I22" i="5" s="1"/>
  <c r="C20" i="5"/>
  <c r="I20" i="5" s="1"/>
  <c r="C23" i="5"/>
  <c r="I23" i="5" s="1"/>
  <c r="C24" i="5"/>
  <c r="I24" i="5" s="1"/>
  <c r="C25" i="5"/>
  <c r="I25" i="5" s="1"/>
  <c r="C26" i="5"/>
  <c r="I26" i="5" s="1"/>
  <c r="C27" i="5"/>
  <c r="I27" i="5" s="1"/>
  <c r="C28" i="5"/>
  <c r="I28" i="5" s="1"/>
  <c r="C29" i="5"/>
  <c r="I29" i="5" s="1"/>
  <c r="C30" i="5"/>
  <c r="I30" i="5" s="1"/>
  <c r="C31" i="5"/>
  <c r="I31" i="5" s="1"/>
  <c r="C33" i="5"/>
  <c r="I33" i="5" s="1"/>
  <c r="C34" i="5"/>
  <c r="I34" i="5" s="1"/>
  <c r="C35" i="5"/>
  <c r="I35" i="5" s="1"/>
  <c r="C36" i="5"/>
  <c r="I36" i="5" s="1"/>
  <c r="C37" i="5"/>
  <c r="I37" i="5" s="1"/>
  <c r="C38" i="5"/>
  <c r="I38" i="5" s="1"/>
  <c r="C40" i="5"/>
  <c r="I40" i="5" s="1"/>
  <c r="C41" i="5"/>
  <c r="I41" i="5" s="1"/>
  <c r="C42" i="5"/>
  <c r="I42" i="5" s="1"/>
  <c r="C43" i="5"/>
  <c r="I43" i="5" s="1"/>
  <c r="C44" i="5"/>
  <c r="I44" i="5" s="1"/>
  <c r="C45" i="5"/>
  <c r="I45" i="5" s="1"/>
  <c r="C48" i="5"/>
  <c r="I48" i="5" s="1"/>
  <c r="C49" i="5"/>
  <c r="I49" i="5" s="1"/>
  <c r="C52" i="5"/>
  <c r="I52" i="5" s="1"/>
  <c r="C53" i="5"/>
  <c r="I53" i="5" s="1"/>
  <c r="C54" i="5"/>
  <c r="I54" i="5" s="1"/>
  <c r="C55" i="5"/>
  <c r="I55" i="5" s="1"/>
  <c r="C57" i="5"/>
  <c r="I57" i="5" s="1"/>
  <c r="C58" i="5"/>
  <c r="I58" i="5" s="1"/>
  <c r="C60" i="5"/>
  <c r="I60" i="5" s="1"/>
  <c r="C61" i="5"/>
  <c r="I61" i="5" s="1"/>
  <c r="C62" i="5"/>
  <c r="I62" i="5" s="1"/>
  <c r="C64" i="5"/>
  <c r="I64" i="5" s="1"/>
  <c r="C67" i="5"/>
  <c r="I67" i="5" s="1"/>
  <c r="C65" i="5"/>
  <c r="I65" i="5" s="1"/>
  <c r="C12" i="5"/>
  <c r="I12" i="5" s="1"/>
  <c r="D10" i="6"/>
  <c r="D17" i="6"/>
  <c r="D12" i="6"/>
  <c r="D11" i="6"/>
  <c r="D9" i="6"/>
  <c r="D13" i="6"/>
  <c r="D19" i="6"/>
  <c r="D24" i="6"/>
  <c r="D20" i="6"/>
  <c r="D30" i="6"/>
  <c r="D39" i="6"/>
  <c r="D49" i="6"/>
  <c r="D6" i="6"/>
  <c r="D50" i="6"/>
  <c r="D23" i="6"/>
  <c r="D47" i="6"/>
  <c r="D33" i="6"/>
  <c r="D54" i="6"/>
  <c r="D25" i="6"/>
  <c r="D22" i="6"/>
  <c r="D61" i="6"/>
  <c r="D64" i="6"/>
  <c r="D14" i="6"/>
  <c r="D18" i="6"/>
  <c r="D51" i="6"/>
  <c r="D29" i="6"/>
  <c r="D66" i="6"/>
  <c r="D28" i="6"/>
  <c r="D16" i="6"/>
  <c r="D40" i="6"/>
  <c r="D75" i="6"/>
  <c r="D35" i="6"/>
  <c r="D76" i="6"/>
  <c r="D80" i="6"/>
  <c r="D32" i="6"/>
  <c r="D81" i="6"/>
  <c r="D87" i="6"/>
  <c r="D95" i="6"/>
  <c r="D21" i="6"/>
  <c r="D99" i="6"/>
  <c r="D105" i="6"/>
  <c r="D43" i="6"/>
  <c r="D114" i="6"/>
  <c r="D62" i="6"/>
  <c r="D119" i="6"/>
  <c r="D117" i="6"/>
  <c r="D44" i="6"/>
  <c r="D56" i="6"/>
  <c r="D72" i="6"/>
  <c r="D128" i="6"/>
  <c r="D133" i="6"/>
  <c r="D41" i="6"/>
  <c r="D124" i="6"/>
  <c r="D142" i="6"/>
  <c r="D144" i="6"/>
  <c r="D101" i="6"/>
  <c r="D148" i="6"/>
  <c r="D165" i="6"/>
  <c r="D156" i="6"/>
  <c r="D31" i="6"/>
  <c r="D67" i="6"/>
  <c r="D158" i="6"/>
  <c r="D160" i="6"/>
  <c r="D150" i="6"/>
  <c r="D161" i="6"/>
  <c r="D79" i="6"/>
  <c r="D162" i="6"/>
  <c r="D163" i="6"/>
  <c r="D100" i="6"/>
  <c r="D152" i="6"/>
  <c r="D166" i="6"/>
  <c r="D167" i="6"/>
  <c r="D168" i="6"/>
  <c r="D91" i="6"/>
  <c r="D169" i="6"/>
  <c r="D170" i="6"/>
  <c r="D149" i="6"/>
  <c r="D52" i="6"/>
  <c r="D37" i="6"/>
  <c r="D46" i="6"/>
  <c r="D70" i="6"/>
  <c r="D120" i="6"/>
  <c r="D110" i="6"/>
  <c r="D127" i="6"/>
  <c r="D36" i="6"/>
  <c r="D88" i="6"/>
  <c r="D112" i="6"/>
  <c r="D26" i="6"/>
  <c r="D118" i="6"/>
  <c r="D53" i="6"/>
  <c r="D48" i="6"/>
  <c r="D83" i="6"/>
  <c r="D84" i="6"/>
  <c r="D89" i="6"/>
  <c r="D90" i="6"/>
  <c r="D55" i="6"/>
  <c r="D65" i="6"/>
  <c r="D104" i="6"/>
  <c r="D106" i="6"/>
  <c r="D8" i="6"/>
  <c r="F18" i="6"/>
  <c r="F29" i="6"/>
  <c r="K148" i="7" l="1"/>
  <c r="K71" i="7"/>
  <c r="K59" i="7"/>
  <c r="K155" i="7"/>
  <c r="K163" i="7"/>
  <c r="K145" i="7"/>
  <c r="K89" i="7"/>
  <c r="K54" i="7"/>
  <c r="K55" i="7"/>
  <c r="K85" i="7"/>
  <c r="K133" i="7"/>
  <c r="K58" i="7"/>
  <c r="K73" i="7"/>
  <c r="K178" i="7"/>
  <c r="K126" i="7"/>
  <c r="K152" i="7"/>
  <c r="K130" i="7"/>
  <c r="K137" i="7"/>
  <c r="K120" i="7"/>
  <c r="K125" i="7"/>
  <c r="K150" i="7"/>
  <c r="K113" i="7"/>
  <c r="K151" i="7"/>
  <c r="K159" i="7"/>
  <c r="K80" i="7"/>
  <c r="K83" i="7"/>
  <c r="K91" i="7"/>
  <c r="K95" i="7"/>
  <c r="K121" i="7"/>
  <c r="K128" i="7"/>
  <c r="K100" i="7"/>
  <c r="K147" i="7"/>
  <c r="K15" i="7"/>
  <c r="K129" i="7"/>
  <c r="K140" i="7"/>
  <c r="K104" i="7"/>
  <c r="K122" i="7"/>
  <c r="K156" i="7"/>
  <c r="K154" i="7"/>
  <c r="K162" i="7"/>
  <c r="J51" i="7"/>
  <c r="J52" i="7"/>
  <c r="J75" i="7"/>
  <c r="J85" i="7"/>
  <c r="I140" i="7"/>
  <c r="I147" i="7"/>
  <c r="P58" i="5"/>
  <c r="G167" i="6" s="1"/>
  <c r="J167" i="6" s="1"/>
  <c r="S167" i="6" s="1"/>
  <c r="V121" i="6"/>
  <c r="V188" i="6"/>
  <c r="V187" i="6"/>
  <c r="V155" i="6"/>
  <c r="V111" i="6"/>
  <c r="V143" i="6"/>
  <c r="V145" i="6"/>
  <c r="V102" i="6"/>
  <c r="V108" i="6"/>
  <c r="V147" i="6"/>
  <c r="V153" i="6"/>
  <c r="V130" i="6"/>
  <c r="V94" i="6"/>
  <c r="V140" i="6"/>
  <c r="P21" i="10"/>
  <c r="I13" i="6" s="1"/>
  <c r="C13" i="9"/>
  <c r="I13" i="9" s="1"/>
  <c r="C14" i="9"/>
  <c r="I14" i="9" s="1"/>
  <c r="J14" i="9" s="1"/>
  <c r="C16" i="9"/>
  <c r="I16" i="9" s="1"/>
  <c r="J16" i="9" s="1"/>
  <c r="C17" i="9"/>
  <c r="I17" i="9" s="1"/>
  <c r="C18" i="9"/>
  <c r="I18" i="9" s="1"/>
  <c r="C20" i="9"/>
  <c r="I20" i="9" s="1"/>
  <c r="C19" i="9"/>
  <c r="I19" i="9" s="1"/>
  <c r="C21" i="9"/>
  <c r="I21" i="9" s="1"/>
  <c r="C23" i="9"/>
  <c r="I23" i="9" s="1"/>
  <c r="C22" i="9"/>
  <c r="I22" i="9" s="1"/>
  <c r="C24" i="9"/>
  <c r="I24" i="9" s="1"/>
  <c r="C25" i="9"/>
  <c r="C26" i="9"/>
  <c r="I26" i="9" s="1"/>
  <c r="J26" i="9" s="1"/>
  <c r="C27" i="9"/>
  <c r="I27" i="9" s="1"/>
  <c r="C28" i="9"/>
  <c r="I28" i="9" s="1"/>
  <c r="C30" i="9"/>
  <c r="I30" i="9" s="1"/>
  <c r="C29" i="9"/>
  <c r="I29" i="9" s="1"/>
  <c r="C33" i="9"/>
  <c r="I33" i="9" s="1"/>
  <c r="C31" i="9"/>
  <c r="I31" i="9" s="1"/>
  <c r="C32" i="9"/>
  <c r="I32" i="9" s="1"/>
  <c r="C34" i="9"/>
  <c r="I34" i="9" s="1"/>
  <c r="C35" i="9"/>
  <c r="I35" i="9" s="1"/>
  <c r="C36" i="9"/>
  <c r="I36" i="9" s="1"/>
  <c r="C38" i="9"/>
  <c r="I38" i="9" s="1"/>
  <c r="C37" i="9"/>
  <c r="I37" i="9" s="1"/>
  <c r="C39" i="9"/>
  <c r="I39" i="9" s="1"/>
  <c r="C42" i="9"/>
  <c r="I42" i="9" s="1"/>
  <c r="C41" i="9"/>
  <c r="I41" i="9" s="1"/>
  <c r="C40" i="9"/>
  <c r="I40" i="9" s="1"/>
  <c r="C44" i="9"/>
  <c r="I44" i="9" s="1"/>
  <c r="C43" i="9"/>
  <c r="C45" i="9"/>
  <c r="I45" i="9" s="1"/>
  <c r="C46" i="9"/>
  <c r="I46" i="9" s="1"/>
  <c r="C47" i="9"/>
  <c r="I47" i="9" s="1"/>
  <c r="C48" i="9"/>
  <c r="I48" i="9" s="1"/>
  <c r="C49" i="9"/>
  <c r="I49" i="9" s="1"/>
  <c r="C50" i="9"/>
  <c r="I50" i="9" s="1"/>
  <c r="C51" i="9"/>
  <c r="I51" i="9" s="1"/>
  <c r="C52" i="9"/>
  <c r="I52" i="9" s="1"/>
  <c r="C53" i="9"/>
  <c r="I53" i="9" s="1"/>
  <c r="C54" i="9"/>
  <c r="I54" i="9" s="1"/>
  <c r="C55" i="9"/>
  <c r="I55" i="9" s="1"/>
  <c r="C56" i="9"/>
  <c r="I56" i="9" s="1"/>
  <c r="C57" i="9"/>
  <c r="I57" i="9" s="1"/>
  <c r="C58" i="9"/>
  <c r="I58" i="9" s="1"/>
  <c r="C60" i="9"/>
  <c r="I60" i="9" s="1"/>
  <c r="C61" i="9"/>
  <c r="I61" i="9" s="1"/>
  <c r="C59" i="9"/>
  <c r="I59" i="9" s="1"/>
  <c r="C62" i="9"/>
  <c r="I62" i="9" s="1"/>
  <c r="J62" i="9" s="1"/>
  <c r="C63" i="9"/>
  <c r="I63" i="9" s="1"/>
  <c r="C64" i="9"/>
  <c r="I64" i="9" s="1"/>
  <c r="C65" i="9"/>
  <c r="I65" i="9" s="1"/>
  <c r="C66" i="9"/>
  <c r="I66" i="9" s="1"/>
  <c r="C67" i="9"/>
  <c r="I67" i="9" s="1"/>
  <c r="J67" i="9" s="1"/>
  <c r="C12" i="9"/>
  <c r="I12" i="9" s="1"/>
  <c r="J12" i="9" s="1"/>
  <c r="H65" i="9"/>
  <c r="R64" i="9" s="1"/>
  <c r="J110" i="7" s="1"/>
  <c r="H64" i="9"/>
  <c r="R63" i="9" s="1"/>
  <c r="J99" i="7" s="1"/>
  <c r="H63" i="9"/>
  <c r="R62" i="9" s="1"/>
  <c r="H57" i="9"/>
  <c r="R56" i="9" s="1"/>
  <c r="J12" i="7" s="1"/>
  <c r="H56" i="9"/>
  <c r="R55" i="9" s="1"/>
  <c r="H55" i="9"/>
  <c r="R54" i="9" s="1"/>
  <c r="H54" i="9"/>
  <c r="H53" i="9"/>
  <c r="R52" i="9" s="1"/>
  <c r="H52" i="9"/>
  <c r="R51" i="9" s="1"/>
  <c r="J29" i="7" s="1"/>
  <c r="H51" i="9"/>
  <c r="R50" i="9" s="1"/>
  <c r="J64" i="7" s="1"/>
  <c r="H50" i="9"/>
  <c r="R49" i="9" s="1"/>
  <c r="H49" i="9"/>
  <c r="R48" i="9" s="1"/>
  <c r="J178" i="7" s="1"/>
  <c r="H48" i="9"/>
  <c r="R47" i="9" s="1"/>
  <c r="J69" i="7" s="1"/>
  <c r="H47" i="9"/>
  <c r="R46" i="9" s="1"/>
  <c r="H46" i="9"/>
  <c r="R45" i="9" s="1"/>
  <c r="H45" i="9"/>
  <c r="R44" i="9" s="1"/>
  <c r="J16" i="7" s="1"/>
  <c r="F43" i="9"/>
  <c r="H44" i="9"/>
  <c r="R43" i="9" s="1"/>
  <c r="H40" i="9"/>
  <c r="R39" i="9" s="1"/>
  <c r="H41" i="9"/>
  <c r="R40" i="9" s="1"/>
  <c r="J33" i="7" s="1"/>
  <c r="H42" i="9"/>
  <c r="R41" i="9" s="1"/>
  <c r="H39" i="9"/>
  <c r="R38" i="9" s="1"/>
  <c r="H37" i="9"/>
  <c r="R36" i="9" s="1"/>
  <c r="J130" i="7" s="1"/>
  <c r="H38" i="9"/>
  <c r="R37" i="9" s="1"/>
  <c r="J7" i="7" s="1"/>
  <c r="H36" i="9"/>
  <c r="R35" i="9" s="1"/>
  <c r="H35" i="9"/>
  <c r="R34" i="9" s="1"/>
  <c r="H34" i="9"/>
  <c r="R33" i="9" s="1"/>
  <c r="H32" i="9"/>
  <c r="R31" i="9" s="1"/>
  <c r="H31" i="9"/>
  <c r="R30" i="9" s="1"/>
  <c r="H33" i="9"/>
  <c r="R32" i="9" s="1"/>
  <c r="J148" i="7" s="1"/>
  <c r="H29" i="9"/>
  <c r="R28" i="9" s="1"/>
  <c r="H30" i="9"/>
  <c r="R29" i="9" s="1"/>
  <c r="H28" i="9"/>
  <c r="R27" i="9" s="1"/>
  <c r="H27" i="9"/>
  <c r="R26" i="9" s="1"/>
  <c r="H26" i="9"/>
  <c r="R25" i="9" s="1"/>
  <c r="F25" i="9"/>
  <c r="H24" i="9"/>
  <c r="R23" i="9" s="1"/>
  <c r="H22" i="9"/>
  <c r="R21" i="9" s="1"/>
  <c r="J35" i="7" s="1"/>
  <c r="H23" i="9"/>
  <c r="R22" i="9" s="1"/>
  <c r="J11" i="7" s="1"/>
  <c r="H21" i="9"/>
  <c r="R20" i="9" s="1"/>
  <c r="H19" i="9"/>
  <c r="R18" i="9" s="1"/>
  <c r="J155" i="7" s="1"/>
  <c r="H20" i="9"/>
  <c r="R19" i="9" s="1"/>
  <c r="J174" i="7" s="1"/>
  <c r="H18" i="9"/>
  <c r="R17" i="9" s="1"/>
  <c r="H17" i="9"/>
  <c r="R16" i="9" s="1"/>
  <c r="J140" i="7" s="1"/>
  <c r="H16" i="9"/>
  <c r="R15" i="9" s="1"/>
  <c r="J150" i="7" s="1"/>
  <c r="F19" i="6"/>
  <c r="F49" i="6"/>
  <c r="F50" i="6"/>
  <c r="F23" i="6"/>
  <c r="F54" i="6"/>
  <c r="F61" i="6"/>
  <c r="F64" i="6"/>
  <c r="F75" i="6"/>
  <c r="F80" i="6"/>
  <c r="F95" i="6"/>
  <c r="F99" i="6"/>
  <c r="F105" i="6"/>
  <c r="F114" i="6"/>
  <c r="F119" i="6"/>
  <c r="F44" i="6"/>
  <c r="F72" i="6"/>
  <c r="F133" i="6"/>
  <c r="F41" i="6"/>
  <c r="F142" i="6"/>
  <c r="F144" i="6"/>
  <c r="F101" i="6"/>
  <c r="F156" i="6"/>
  <c r="F31" i="6"/>
  <c r="F67" i="6"/>
  <c r="F158" i="6"/>
  <c r="F160" i="6"/>
  <c r="F150" i="6"/>
  <c r="F161" i="6"/>
  <c r="F79" i="6"/>
  <c r="F162" i="6"/>
  <c r="F163" i="6"/>
  <c r="F149" i="6"/>
  <c r="F52" i="6"/>
  <c r="F37" i="6"/>
  <c r="F46" i="6"/>
  <c r="F70" i="6"/>
  <c r="F120" i="6"/>
  <c r="F110" i="6"/>
  <c r="F127" i="6"/>
  <c r="F36" i="6"/>
  <c r="F88" i="6"/>
  <c r="F112" i="6"/>
  <c r="F26" i="6"/>
  <c r="F118" i="6"/>
  <c r="F53" i="6"/>
  <c r="F48" i="6"/>
  <c r="F83" i="6"/>
  <c r="F84" i="6"/>
  <c r="F89" i="6"/>
  <c r="F90" i="6"/>
  <c r="F55" i="6"/>
  <c r="F65" i="6"/>
  <c r="F104" i="6"/>
  <c r="F106" i="6"/>
  <c r="F30" i="6"/>
  <c r="F39" i="6"/>
  <c r="F6" i="6"/>
  <c r="F10" i="6"/>
  <c r="F12" i="6"/>
  <c r="F47" i="6"/>
  <c r="F11" i="6"/>
  <c r="F9" i="6"/>
  <c r="F17" i="6"/>
  <c r="F25" i="6"/>
  <c r="F22" i="6"/>
  <c r="F24" i="6"/>
  <c r="F14" i="6"/>
  <c r="F20" i="6"/>
  <c r="F13" i="6"/>
  <c r="F66" i="6"/>
  <c r="F28" i="6"/>
  <c r="F16" i="6"/>
  <c r="F76" i="6"/>
  <c r="F32" i="6"/>
  <c r="F81" i="6"/>
  <c r="F87" i="6"/>
  <c r="F21" i="6"/>
  <c r="F33" i="6"/>
  <c r="F43" i="6"/>
  <c r="F62" i="6"/>
  <c r="F117" i="6"/>
  <c r="F56" i="6"/>
  <c r="F40" i="6"/>
  <c r="F128" i="6"/>
  <c r="F124" i="6"/>
  <c r="F51" i="6"/>
  <c r="F165" i="6"/>
  <c r="F100" i="6"/>
  <c r="F152" i="6"/>
  <c r="F166" i="6"/>
  <c r="F35" i="6"/>
  <c r="F167" i="6"/>
  <c r="F168" i="6"/>
  <c r="F148" i="6"/>
  <c r="F91" i="6"/>
  <c r="F169" i="6"/>
  <c r="F170" i="6"/>
  <c r="F171" i="6"/>
  <c r="F8" i="6"/>
  <c r="M45" i="9"/>
  <c r="N45" i="9"/>
  <c r="O45" i="9"/>
  <c r="M46" i="9"/>
  <c r="N46" i="9"/>
  <c r="O46" i="9"/>
  <c r="M47" i="9"/>
  <c r="N47" i="9"/>
  <c r="O47" i="9"/>
  <c r="M48" i="9"/>
  <c r="N48" i="9"/>
  <c r="O48" i="9"/>
  <c r="M49" i="9"/>
  <c r="N49" i="9"/>
  <c r="O49" i="9"/>
  <c r="M50" i="9"/>
  <c r="N50" i="9"/>
  <c r="O50" i="9"/>
  <c r="M51" i="9"/>
  <c r="N51" i="9"/>
  <c r="O51" i="9"/>
  <c r="M52" i="9"/>
  <c r="N52" i="9"/>
  <c r="O52" i="9"/>
  <c r="M53" i="9"/>
  <c r="N53" i="9"/>
  <c r="O53" i="9"/>
  <c r="M54" i="9"/>
  <c r="N54" i="9"/>
  <c r="O54" i="9"/>
  <c r="M55" i="9"/>
  <c r="N55" i="9"/>
  <c r="O55" i="9"/>
  <c r="M56" i="9"/>
  <c r="N56" i="9"/>
  <c r="O56" i="9"/>
  <c r="M57" i="9"/>
  <c r="N57" i="9"/>
  <c r="O57" i="9"/>
  <c r="M58" i="9"/>
  <c r="N58" i="9"/>
  <c r="O58" i="9"/>
  <c r="M59" i="9"/>
  <c r="N59" i="9"/>
  <c r="O59" i="9"/>
  <c r="M60" i="9"/>
  <c r="N60" i="9"/>
  <c r="O60" i="9"/>
  <c r="M61" i="9"/>
  <c r="N61" i="9"/>
  <c r="O61" i="9"/>
  <c r="M62" i="9"/>
  <c r="N62" i="9"/>
  <c r="O62" i="9"/>
  <c r="M63" i="9"/>
  <c r="N63" i="9"/>
  <c r="O63" i="9"/>
  <c r="M64" i="9"/>
  <c r="N64" i="9"/>
  <c r="O64" i="9"/>
  <c r="M65" i="9"/>
  <c r="N65" i="9"/>
  <c r="O65" i="9"/>
  <c r="M66" i="9"/>
  <c r="N66" i="9"/>
  <c r="O66" i="9"/>
  <c r="R33" i="5"/>
  <c r="I52" i="7" s="1"/>
  <c r="R34" i="5"/>
  <c r="R35" i="5"/>
  <c r="R36" i="5"/>
  <c r="R37" i="5"/>
  <c r="I177" i="7" s="1"/>
  <c r="R38" i="5"/>
  <c r="R39" i="5"/>
  <c r="R40" i="5"/>
  <c r="R41" i="5"/>
  <c r="I152" i="7" s="1"/>
  <c r="R42" i="5"/>
  <c r="I55" i="7" s="1"/>
  <c r="R43" i="5"/>
  <c r="R44" i="5"/>
  <c r="R45" i="5"/>
  <c r="I144" i="7" s="1"/>
  <c r="R46" i="5"/>
  <c r="R47" i="5"/>
  <c r="R48" i="5"/>
  <c r="R49" i="5"/>
  <c r="R50" i="5"/>
  <c r="I93" i="7" s="1"/>
  <c r="R51" i="5"/>
  <c r="I62" i="7" s="1"/>
  <c r="R52" i="5"/>
  <c r="R53" i="5"/>
  <c r="R54" i="5"/>
  <c r="R55" i="5"/>
  <c r="R56" i="5"/>
  <c r="I46" i="7" s="1"/>
  <c r="R57" i="5"/>
  <c r="I130" i="7" s="1"/>
  <c r="R13" i="5"/>
  <c r="R14" i="5"/>
  <c r="R15" i="5"/>
  <c r="I108" i="7" s="1"/>
  <c r="R16" i="5"/>
  <c r="R17" i="5"/>
  <c r="R18" i="5"/>
  <c r="I100" i="7" s="1"/>
  <c r="R19" i="5"/>
  <c r="R20" i="5"/>
  <c r="R21" i="5"/>
  <c r="R22" i="5"/>
  <c r="I155" i="7" s="1"/>
  <c r="R23" i="5"/>
  <c r="I30" i="7" s="1"/>
  <c r="R24" i="5"/>
  <c r="R25" i="5"/>
  <c r="R26" i="5"/>
  <c r="I91" i="7" s="1"/>
  <c r="R27" i="5"/>
  <c r="I102" i="7" s="1"/>
  <c r="R28" i="5"/>
  <c r="I35" i="7" s="1"/>
  <c r="R29" i="5"/>
  <c r="R30" i="5"/>
  <c r="I125" i="7" s="1"/>
  <c r="R31" i="5"/>
  <c r="R32" i="5"/>
  <c r="O52" i="16"/>
  <c r="N52" i="16"/>
  <c r="M52" i="16"/>
  <c r="I52" i="16"/>
  <c r="J52" i="16" s="1"/>
  <c r="O51" i="16"/>
  <c r="N51" i="16"/>
  <c r="M51" i="16"/>
  <c r="I51" i="16"/>
  <c r="J51" i="16" s="1"/>
  <c r="O50" i="16"/>
  <c r="N50" i="16"/>
  <c r="M50" i="16"/>
  <c r="I50" i="16"/>
  <c r="J50" i="16" s="1"/>
  <c r="O49" i="16"/>
  <c r="N49" i="16"/>
  <c r="M49" i="16"/>
  <c r="P49" i="16" s="1"/>
  <c r="O124" i="6" s="1"/>
  <c r="I49" i="16"/>
  <c r="J49" i="16" s="1"/>
  <c r="O48" i="16"/>
  <c r="N48" i="16"/>
  <c r="M48" i="16"/>
  <c r="P48" i="16" s="1"/>
  <c r="O47" i="6" s="1"/>
  <c r="I48" i="16"/>
  <c r="J48" i="16" s="1"/>
  <c r="O47" i="16"/>
  <c r="N47" i="16"/>
  <c r="M47" i="16"/>
  <c r="I46" i="16"/>
  <c r="J46" i="16" s="1"/>
  <c r="O46" i="16"/>
  <c r="N46" i="16"/>
  <c r="M46" i="16"/>
  <c r="P46" i="16" s="1"/>
  <c r="I47" i="16"/>
  <c r="J47" i="16" s="1"/>
  <c r="O45" i="16"/>
  <c r="N45" i="16"/>
  <c r="M45" i="16"/>
  <c r="P45" i="16" s="1"/>
  <c r="I43" i="16"/>
  <c r="J43" i="16" s="1"/>
  <c r="O44" i="16"/>
  <c r="N44" i="16"/>
  <c r="M44" i="16"/>
  <c r="P44" i="16" s="1"/>
  <c r="O131" i="6" s="1"/>
  <c r="I44" i="16"/>
  <c r="J44" i="16" s="1"/>
  <c r="O43" i="16"/>
  <c r="N43" i="16"/>
  <c r="M43" i="16"/>
  <c r="P43" i="16" s="1"/>
  <c r="I45" i="16"/>
  <c r="J45" i="16" s="1"/>
  <c r="O42" i="16"/>
  <c r="N42" i="16"/>
  <c r="M42" i="16"/>
  <c r="P42" i="16" s="1"/>
  <c r="I41" i="16"/>
  <c r="J41" i="16" s="1"/>
  <c r="O41" i="16"/>
  <c r="N41" i="16"/>
  <c r="M41" i="16"/>
  <c r="P41" i="16" s="1"/>
  <c r="I42" i="16"/>
  <c r="J42" i="16" s="1"/>
  <c r="O40" i="16"/>
  <c r="N40" i="16"/>
  <c r="M40" i="16"/>
  <c r="P40" i="16" s="1"/>
  <c r="I37" i="16"/>
  <c r="J37" i="16" s="1"/>
  <c r="O39" i="16"/>
  <c r="N39" i="16"/>
  <c r="M39" i="16"/>
  <c r="P39" i="16" s="1"/>
  <c r="I40" i="16"/>
  <c r="J40" i="16" s="1"/>
  <c r="O38" i="16"/>
  <c r="N38" i="16"/>
  <c r="M38" i="16"/>
  <c r="P38" i="16" s="1"/>
  <c r="I39" i="16"/>
  <c r="J39" i="16" s="1"/>
  <c r="O37" i="16"/>
  <c r="N37" i="16"/>
  <c r="M37" i="16"/>
  <c r="P37" i="16" s="1"/>
  <c r="I36" i="16"/>
  <c r="J36" i="16" s="1"/>
  <c r="O36" i="16"/>
  <c r="N36" i="16"/>
  <c r="M36" i="16"/>
  <c r="P36" i="16" s="1"/>
  <c r="I38" i="16"/>
  <c r="J38" i="16" s="1"/>
  <c r="O35" i="16"/>
  <c r="N35" i="16"/>
  <c r="M35" i="16"/>
  <c r="P35" i="16" s="1"/>
  <c r="O28" i="6" s="1"/>
  <c r="I35" i="16"/>
  <c r="J35" i="16" s="1"/>
  <c r="O34" i="16"/>
  <c r="N34" i="16"/>
  <c r="M34" i="16"/>
  <c r="P34" i="16" s="1"/>
  <c r="I33" i="16"/>
  <c r="J33" i="16" s="1"/>
  <c r="O33" i="16"/>
  <c r="N33" i="16"/>
  <c r="M33" i="16"/>
  <c r="P33" i="16" s="1"/>
  <c r="I34" i="16"/>
  <c r="J34" i="16" s="1"/>
  <c r="O32" i="16"/>
  <c r="N32" i="16"/>
  <c r="M32" i="16"/>
  <c r="P32" i="16" s="1"/>
  <c r="O26" i="6" s="1"/>
  <c r="I32" i="16"/>
  <c r="J32" i="16" s="1"/>
  <c r="O31" i="16"/>
  <c r="N31" i="16"/>
  <c r="M31" i="16"/>
  <c r="I31" i="16"/>
  <c r="J31" i="16" s="1"/>
  <c r="O30" i="16"/>
  <c r="N30" i="16"/>
  <c r="M30" i="16"/>
  <c r="P30" i="16" s="1"/>
  <c r="I28" i="16"/>
  <c r="J28" i="16" s="1"/>
  <c r="O29" i="16"/>
  <c r="N29" i="16"/>
  <c r="M29" i="16"/>
  <c r="P29" i="16" s="1"/>
  <c r="I30" i="16"/>
  <c r="J30" i="16" s="1"/>
  <c r="O28" i="16"/>
  <c r="N28" i="16"/>
  <c r="M28" i="16"/>
  <c r="P28" i="16" s="1"/>
  <c r="I25" i="16"/>
  <c r="J25" i="16" s="1"/>
  <c r="O27" i="16"/>
  <c r="N27" i="16"/>
  <c r="M27" i="16"/>
  <c r="P27" i="16" s="1"/>
  <c r="I29" i="16"/>
  <c r="J29" i="16" s="1"/>
  <c r="O26" i="16"/>
  <c r="N26" i="16"/>
  <c r="M26" i="16"/>
  <c r="P26" i="16" s="1"/>
  <c r="I27" i="16"/>
  <c r="J27" i="16" s="1"/>
  <c r="O25" i="16"/>
  <c r="N25" i="16"/>
  <c r="M25" i="16"/>
  <c r="P25" i="16" s="1"/>
  <c r="I26" i="16"/>
  <c r="J26" i="16" s="1"/>
  <c r="O24" i="16"/>
  <c r="N24" i="16"/>
  <c r="M24" i="16"/>
  <c r="P24" i="16" s="1"/>
  <c r="I22" i="16"/>
  <c r="J22" i="16" s="1"/>
  <c r="O23" i="16"/>
  <c r="N23" i="16"/>
  <c r="M23" i="16"/>
  <c r="P23" i="16" s="1"/>
  <c r="I24" i="16"/>
  <c r="J24" i="16" s="1"/>
  <c r="O22" i="16"/>
  <c r="N22" i="16"/>
  <c r="M22" i="16"/>
  <c r="P22" i="16" s="1"/>
  <c r="I23" i="16"/>
  <c r="J23" i="16" s="1"/>
  <c r="O21" i="16"/>
  <c r="N21" i="16"/>
  <c r="M21" i="16"/>
  <c r="P21" i="16" s="1"/>
  <c r="O37" i="6" s="1"/>
  <c r="I21" i="16"/>
  <c r="J21" i="16" s="1"/>
  <c r="O20" i="16"/>
  <c r="N20" i="16"/>
  <c r="M20" i="16"/>
  <c r="P20" i="16" s="1"/>
  <c r="I19" i="16"/>
  <c r="J19" i="16" s="1"/>
  <c r="O19" i="16"/>
  <c r="N19" i="16"/>
  <c r="M19" i="16"/>
  <c r="P19" i="16" s="1"/>
  <c r="I20" i="16"/>
  <c r="J20" i="16" s="1"/>
  <c r="O18" i="16"/>
  <c r="N18" i="16"/>
  <c r="M18" i="16"/>
  <c r="P18" i="16" s="1"/>
  <c r="O13" i="6" s="1"/>
  <c r="I18" i="16"/>
  <c r="J18" i="16" s="1"/>
  <c r="O17" i="16"/>
  <c r="N17" i="16"/>
  <c r="M17" i="16"/>
  <c r="P17" i="16" s="1"/>
  <c r="O11" i="6" s="1"/>
  <c r="I17" i="16"/>
  <c r="J17" i="16" s="1"/>
  <c r="O16" i="16"/>
  <c r="N16" i="16"/>
  <c r="M16" i="16"/>
  <c r="P16" i="16" s="1"/>
  <c r="J15" i="16"/>
  <c r="O15" i="16"/>
  <c r="N15" i="16"/>
  <c r="M15" i="16"/>
  <c r="P15" i="16" s="1"/>
  <c r="I12" i="16"/>
  <c r="J12" i="16" s="1"/>
  <c r="O14" i="16"/>
  <c r="N14" i="16"/>
  <c r="M14" i="16"/>
  <c r="P14" i="16" s="1"/>
  <c r="I16" i="16"/>
  <c r="J16" i="16" s="1"/>
  <c r="O13" i="16"/>
  <c r="N13" i="16"/>
  <c r="M13" i="16"/>
  <c r="P13" i="16" s="1"/>
  <c r="J14" i="16"/>
  <c r="O12" i="16"/>
  <c r="N12" i="16"/>
  <c r="M12" i="16"/>
  <c r="J13" i="16"/>
  <c r="O38" i="15"/>
  <c r="N38" i="15"/>
  <c r="M38" i="15"/>
  <c r="I38" i="15"/>
  <c r="J38" i="15" s="1"/>
  <c r="O37" i="15"/>
  <c r="N37" i="15"/>
  <c r="M37" i="15"/>
  <c r="I35" i="15"/>
  <c r="J35" i="15" s="1"/>
  <c r="O36" i="15"/>
  <c r="N36" i="15"/>
  <c r="M36" i="15"/>
  <c r="J39" i="15"/>
  <c r="O35" i="15"/>
  <c r="N35" i="15"/>
  <c r="M35" i="15"/>
  <c r="I37" i="15"/>
  <c r="J37" i="15" s="1"/>
  <c r="O34" i="15"/>
  <c r="N34" i="15"/>
  <c r="M34" i="15"/>
  <c r="I36" i="15"/>
  <c r="J36" i="15" s="1"/>
  <c r="O33" i="15"/>
  <c r="N33" i="15"/>
  <c r="M33" i="15"/>
  <c r="I34" i="15"/>
  <c r="J34" i="15" s="1"/>
  <c r="O32" i="15"/>
  <c r="N32" i="15"/>
  <c r="M32" i="15"/>
  <c r="I33" i="15"/>
  <c r="J33" i="15" s="1"/>
  <c r="O31" i="15"/>
  <c r="N31" i="15"/>
  <c r="M31" i="15"/>
  <c r="I30" i="15"/>
  <c r="J30" i="15" s="1"/>
  <c r="O30" i="15"/>
  <c r="N30" i="15"/>
  <c r="M30" i="15"/>
  <c r="I32" i="15"/>
  <c r="J32" i="15" s="1"/>
  <c r="O29" i="15"/>
  <c r="N29" i="15"/>
  <c r="M29" i="15"/>
  <c r="I31" i="15"/>
  <c r="J31" i="15" s="1"/>
  <c r="O28" i="15"/>
  <c r="N28" i="15"/>
  <c r="M28" i="15"/>
  <c r="I29" i="15"/>
  <c r="J29" i="15" s="1"/>
  <c r="O27" i="15"/>
  <c r="N27" i="15"/>
  <c r="M27" i="15"/>
  <c r="I27" i="15"/>
  <c r="J27" i="15" s="1"/>
  <c r="O26" i="15"/>
  <c r="N26" i="15"/>
  <c r="M26" i="15"/>
  <c r="I26" i="15"/>
  <c r="J26" i="15" s="1"/>
  <c r="O25" i="15"/>
  <c r="N25" i="15"/>
  <c r="M25" i="15"/>
  <c r="J25" i="15"/>
  <c r="O24" i="15"/>
  <c r="N24" i="15"/>
  <c r="M24" i="15"/>
  <c r="I24" i="15"/>
  <c r="J24" i="15" s="1"/>
  <c r="O23" i="15"/>
  <c r="N23" i="15"/>
  <c r="M23" i="15"/>
  <c r="I23" i="15"/>
  <c r="J23" i="15" s="1"/>
  <c r="O22" i="15"/>
  <c r="N22" i="15"/>
  <c r="M22" i="15"/>
  <c r="I22" i="15"/>
  <c r="J22" i="15" s="1"/>
  <c r="O21" i="15"/>
  <c r="N21" i="15"/>
  <c r="M21" i="15"/>
  <c r="I21" i="15"/>
  <c r="J21" i="15" s="1"/>
  <c r="O20" i="15"/>
  <c r="N20" i="15"/>
  <c r="M20" i="15"/>
  <c r="I18" i="15"/>
  <c r="J18" i="15" s="1"/>
  <c r="O19" i="15"/>
  <c r="N19" i="15"/>
  <c r="M19" i="15"/>
  <c r="I20" i="15"/>
  <c r="J20" i="15" s="1"/>
  <c r="O18" i="15"/>
  <c r="N18" i="15"/>
  <c r="M18" i="15"/>
  <c r="I19" i="15"/>
  <c r="J19" i="15" s="1"/>
  <c r="O17" i="15"/>
  <c r="N17" i="15"/>
  <c r="M17" i="15"/>
  <c r="I16" i="15"/>
  <c r="J16" i="15" s="1"/>
  <c r="O16" i="15"/>
  <c r="N16" i="15"/>
  <c r="M16" i="15"/>
  <c r="I17" i="15"/>
  <c r="J17" i="15" s="1"/>
  <c r="O15" i="15"/>
  <c r="N15" i="15"/>
  <c r="M15" i="15"/>
  <c r="O14" i="15"/>
  <c r="N14" i="15"/>
  <c r="M14" i="15"/>
  <c r="J14" i="15"/>
  <c r="O13" i="15"/>
  <c r="N13" i="15"/>
  <c r="M13" i="15"/>
  <c r="P13" i="15" s="1"/>
  <c r="N6" i="6" s="1"/>
  <c r="I13" i="15"/>
  <c r="J13" i="15" s="1"/>
  <c r="O12" i="15"/>
  <c r="N12" i="15"/>
  <c r="M12" i="15"/>
  <c r="P12" i="15" s="1"/>
  <c r="N8" i="6" s="1"/>
  <c r="I12" i="15"/>
  <c r="J12" i="15" s="1"/>
  <c r="O64" i="14"/>
  <c r="N64" i="14"/>
  <c r="M64" i="14"/>
  <c r="J58" i="14"/>
  <c r="O63" i="14"/>
  <c r="N63" i="14"/>
  <c r="M63" i="14"/>
  <c r="J42" i="14"/>
  <c r="O62" i="14"/>
  <c r="N62" i="14"/>
  <c r="M62" i="14"/>
  <c r="J59" i="14"/>
  <c r="O61" i="14"/>
  <c r="N61" i="14"/>
  <c r="M61" i="14"/>
  <c r="J39" i="14"/>
  <c r="O60" i="14"/>
  <c r="N60" i="14"/>
  <c r="M60" i="14"/>
  <c r="I45" i="14"/>
  <c r="J45" i="14" s="1"/>
  <c r="O59" i="14"/>
  <c r="N59" i="14"/>
  <c r="M59" i="14"/>
  <c r="I52" i="14"/>
  <c r="J52" i="14" s="1"/>
  <c r="O58" i="14"/>
  <c r="N58" i="14"/>
  <c r="M58" i="14"/>
  <c r="I68" i="14"/>
  <c r="J68" i="14" s="1"/>
  <c r="O57" i="14"/>
  <c r="N57" i="14"/>
  <c r="M57" i="14"/>
  <c r="I66" i="14"/>
  <c r="J66" i="14" s="1"/>
  <c r="O56" i="14"/>
  <c r="N56" i="14"/>
  <c r="M56" i="14"/>
  <c r="I67" i="14"/>
  <c r="J67" i="14" s="1"/>
  <c r="O55" i="14"/>
  <c r="N55" i="14"/>
  <c r="M55" i="14"/>
  <c r="I46" i="14"/>
  <c r="J46" i="14" s="1"/>
  <c r="O54" i="14"/>
  <c r="N54" i="14"/>
  <c r="M54" i="14"/>
  <c r="I61" i="14"/>
  <c r="J61" i="14" s="1"/>
  <c r="O53" i="14"/>
  <c r="N53" i="14"/>
  <c r="M53" i="14"/>
  <c r="I34" i="14"/>
  <c r="J34" i="14" s="1"/>
  <c r="O52" i="14"/>
  <c r="N52" i="14"/>
  <c r="M52" i="14"/>
  <c r="I60" i="14"/>
  <c r="J60" i="14" s="1"/>
  <c r="O51" i="14"/>
  <c r="N51" i="14"/>
  <c r="M51" i="14"/>
  <c r="I55" i="14"/>
  <c r="J55" i="14" s="1"/>
  <c r="O50" i="14"/>
  <c r="N50" i="14"/>
  <c r="M50" i="14"/>
  <c r="I63" i="14"/>
  <c r="J63" i="14" s="1"/>
  <c r="O49" i="14"/>
  <c r="N49" i="14"/>
  <c r="M49" i="14"/>
  <c r="I57" i="14"/>
  <c r="J57" i="14" s="1"/>
  <c r="O48" i="14"/>
  <c r="N48" i="14"/>
  <c r="M48" i="14"/>
  <c r="I32" i="14"/>
  <c r="J32" i="14" s="1"/>
  <c r="O47" i="14"/>
  <c r="N47" i="14"/>
  <c r="M47" i="14"/>
  <c r="P47" i="14" s="1"/>
  <c r="I29" i="14"/>
  <c r="J29" i="14" s="1"/>
  <c r="O46" i="14"/>
  <c r="N46" i="14"/>
  <c r="M46" i="14"/>
  <c r="I13" i="14"/>
  <c r="J13" i="14" s="1"/>
  <c r="O45" i="14"/>
  <c r="N45" i="14"/>
  <c r="M45" i="14"/>
  <c r="I50" i="14"/>
  <c r="J50" i="14" s="1"/>
  <c r="O44" i="14"/>
  <c r="N44" i="14"/>
  <c r="M44" i="14"/>
  <c r="I41" i="14"/>
  <c r="J41" i="14" s="1"/>
  <c r="O43" i="14"/>
  <c r="N43" i="14"/>
  <c r="M43" i="14"/>
  <c r="I36" i="14"/>
  <c r="J36" i="14" s="1"/>
  <c r="O42" i="14"/>
  <c r="N42" i="14"/>
  <c r="M42" i="14"/>
  <c r="J53" i="14"/>
  <c r="O41" i="14"/>
  <c r="N41" i="14"/>
  <c r="M41" i="14"/>
  <c r="J40" i="14"/>
  <c r="O40" i="14"/>
  <c r="N40" i="14"/>
  <c r="M40" i="14"/>
  <c r="I25" i="14"/>
  <c r="J25" i="14" s="1"/>
  <c r="O39" i="14"/>
  <c r="N39" i="14"/>
  <c r="M39" i="14"/>
  <c r="P39" i="14" s="1"/>
  <c r="I21" i="14"/>
  <c r="J21" i="14" s="1"/>
  <c r="O38" i="14"/>
  <c r="N38" i="14"/>
  <c r="M38" i="14"/>
  <c r="I23" i="14"/>
  <c r="J23" i="14" s="1"/>
  <c r="O37" i="14"/>
  <c r="N37" i="14"/>
  <c r="M37" i="14"/>
  <c r="I49" i="14"/>
  <c r="J49" i="14" s="1"/>
  <c r="O36" i="14"/>
  <c r="N36" i="14"/>
  <c r="M36" i="14"/>
  <c r="I27" i="14"/>
  <c r="J27" i="14" s="1"/>
  <c r="O35" i="14"/>
  <c r="N35" i="14"/>
  <c r="M35" i="14"/>
  <c r="I28" i="14"/>
  <c r="J28" i="14" s="1"/>
  <c r="O34" i="14"/>
  <c r="N34" i="14"/>
  <c r="M34" i="14"/>
  <c r="I17" i="14"/>
  <c r="J17" i="14" s="1"/>
  <c r="O33" i="14"/>
  <c r="N33" i="14"/>
  <c r="M33" i="14"/>
  <c r="J15" i="14"/>
  <c r="O32" i="14"/>
  <c r="N32" i="14"/>
  <c r="M32" i="14"/>
  <c r="I22" i="14"/>
  <c r="J22" i="14" s="1"/>
  <c r="O31" i="14"/>
  <c r="N31" i="14"/>
  <c r="M31" i="14"/>
  <c r="J16" i="14"/>
  <c r="O30" i="14"/>
  <c r="N30" i="14"/>
  <c r="M30" i="14"/>
  <c r="I37" i="14"/>
  <c r="J37" i="14" s="1"/>
  <c r="O29" i="14"/>
  <c r="N29" i="14"/>
  <c r="M29" i="14"/>
  <c r="I33" i="14"/>
  <c r="J33" i="14" s="1"/>
  <c r="O28" i="14"/>
  <c r="N28" i="14"/>
  <c r="M28" i="14"/>
  <c r="I62" i="14"/>
  <c r="J62" i="14" s="1"/>
  <c r="O27" i="14"/>
  <c r="N27" i="14"/>
  <c r="M27" i="14"/>
  <c r="P27" i="14" s="1"/>
  <c r="I30" i="14"/>
  <c r="J30" i="14" s="1"/>
  <c r="O26" i="14"/>
  <c r="N26" i="14"/>
  <c r="M26" i="14"/>
  <c r="I44" i="14"/>
  <c r="J44" i="14" s="1"/>
  <c r="O25" i="14"/>
  <c r="N25" i="14"/>
  <c r="M25" i="14"/>
  <c r="P25" i="14" s="1"/>
  <c r="I18" i="14"/>
  <c r="J18" i="14" s="1"/>
  <c r="O24" i="14"/>
  <c r="N24" i="14"/>
  <c r="M24" i="14"/>
  <c r="I56" i="14"/>
  <c r="J56" i="14" s="1"/>
  <c r="O23" i="14"/>
  <c r="N23" i="14"/>
  <c r="M23" i="14"/>
  <c r="P23" i="14" s="1"/>
  <c r="I35" i="14"/>
  <c r="J35" i="14" s="1"/>
  <c r="O22" i="14"/>
  <c r="N22" i="14"/>
  <c r="M22" i="14"/>
  <c r="I48" i="14"/>
  <c r="J48" i="14" s="1"/>
  <c r="O21" i="14"/>
  <c r="N21" i="14"/>
  <c r="M21" i="14"/>
  <c r="P21" i="14" s="1"/>
  <c r="I26" i="14"/>
  <c r="J26" i="14" s="1"/>
  <c r="O20" i="14"/>
  <c r="N20" i="14"/>
  <c r="M20" i="14"/>
  <c r="I24" i="14"/>
  <c r="J24" i="14" s="1"/>
  <c r="O19" i="14"/>
  <c r="N19" i="14"/>
  <c r="M19" i="14"/>
  <c r="P19" i="14" s="1"/>
  <c r="I38" i="14"/>
  <c r="J38" i="14" s="1"/>
  <c r="O18" i="14"/>
  <c r="N18" i="14"/>
  <c r="M18" i="14"/>
  <c r="I43" i="14"/>
  <c r="J43" i="14" s="1"/>
  <c r="O17" i="14"/>
  <c r="N17" i="14"/>
  <c r="M17" i="14"/>
  <c r="P17" i="14" s="1"/>
  <c r="M8" i="6" s="1"/>
  <c r="I47" i="14"/>
  <c r="J47" i="14" s="1"/>
  <c r="O16" i="14"/>
  <c r="N16" i="14"/>
  <c r="M16" i="14"/>
  <c r="I14" i="14"/>
  <c r="J14" i="14" s="1"/>
  <c r="O15" i="14"/>
  <c r="N15" i="14"/>
  <c r="M15" i="14"/>
  <c r="P15" i="14" s="1"/>
  <c r="M42" i="6" s="1"/>
  <c r="I12" i="14"/>
  <c r="J12" i="14" s="1"/>
  <c r="O14" i="14"/>
  <c r="N14" i="14"/>
  <c r="M14" i="14"/>
  <c r="I51" i="14"/>
  <c r="J51" i="14" s="1"/>
  <c r="O13" i="14"/>
  <c r="N13" i="14"/>
  <c r="M13" i="14"/>
  <c r="P13" i="14" s="1"/>
  <c r="I20" i="14"/>
  <c r="J20" i="14" s="1"/>
  <c r="O12" i="14"/>
  <c r="N12" i="14"/>
  <c r="M12" i="14"/>
  <c r="I19" i="14"/>
  <c r="J19" i="14" s="1"/>
  <c r="O41" i="13"/>
  <c r="N41" i="13"/>
  <c r="M41" i="13"/>
  <c r="R41" i="13"/>
  <c r="O40" i="13"/>
  <c r="N40" i="13"/>
  <c r="M40" i="13"/>
  <c r="R38" i="13"/>
  <c r="M168" i="7" s="1"/>
  <c r="O39" i="13"/>
  <c r="N39" i="13"/>
  <c r="M39" i="13"/>
  <c r="R36" i="13"/>
  <c r="M32" i="7" s="1"/>
  <c r="O38" i="13"/>
  <c r="N38" i="13"/>
  <c r="M38" i="13"/>
  <c r="R35" i="13"/>
  <c r="O37" i="13"/>
  <c r="N37" i="13"/>
  <c r="M37" i="13"/>
  <c r="R40" i="13"/>
  <c r="O36" i="13"/>
  <c r="N36" i="13"/>
  <c r="M36" i="13"/>
  <c r="R37" i="13"/>
  <c r="O35" i="13"/>
  <c r="N35" i="13"/>
  <c r="M35" i="13"/>
  <c r="R34" i="13"/>
  <c r="M48" i="7" s="1"/>
  <c r="O34" i="13"/>
  <c r="N34" i="13"/>
  <c r="M34" i="13"/>
  <c r="R31" i="13"/>
  <c r="M175" i="7" s="1"/>
  <c r="O33" i="13"/>
  <c r="N33" i="13"/>
  <c r="M33" i="13"/>
  <c r="R29" i="13"/>
  <c r="O32" i="13"/>
  <c r="N32" i="13"/>
  <c r="M32" i="13"/>
  <c r="R25" i="13"/>
  <c r="O31" i="13"/>
  <c r="N31" i="13"/>
  <c r="M31" i="13"/>
  <c r="R39" i="13"/>
  <c r="O30" i="13"/>
  <c r="N30" i="13"/>
  <c r="M30" i="13"/>
  <c r="R33" i="13"/>
  <c r="M24" i="7" s="1"/>
  <c r="O29" i="13"/>
  <c r="N29" i="13"/>
  <c r="M29" i="13"/>
  <c r="R32" i="13"/>
  <c r="M84" i="7" s="1"/>
  <c r="O28" i="13"/>
  <c r="N28" i="13"/>
  <c r="M28" i="13"/>
  <c r="R30" i="13"/>
  <c r="M21" i="7" s="1"/>
  <c r="O27" i="13"/>
  <c r="N27" i="13"/>
  <c r="M27" i="13"/>
  <c r="R28" i="13"/>
  <c r="O26" i="13"/>
  <c r="N26" i="13"/>
  <c r="M26" i="13"/>
  <c r="R27" i="13"/>
  <c r="O25" i="13"/>
  <c r="N25" i="13"/>
  <c r="M25" i="13"/>
  <c r="R26" i="13"/>
  <c r="O24" i="13"/>
  <c r="N24" i="13"/>
  <c r="M24" i="13"/>
  <c r="R24" i="13"/>
  <c r="M177" i="7" s="1"/>
  <c r="O23" i="13"/>
  <c r="N23" i="13"/>
  <c r="M23" i="13"/>
  <c r="R23" i="13"/>
  <c r="M178" i="7" s="1"/>
  <c r="O22" i="13"/>
  <c r="N22" i="13"/>
  <c r="M22" i="13"/>
  <c r="R22" i="13"/>
  <c r="O21" i="13"/>
  <c r="N21" i="13"/>
  <c r="M21" i="13"/>
  <c r="R21" i="13"/>
  <c r="O20" i="13"/>
  <c r="N20" i="13"/>
  <c r="M20" i="13"/>
  <c r="R19" i="13"/>
  <c r="M91" i="7" s="1"/>
  <c r="O19" i="13"/>
  <c r="N19" i="13"/>
  <c r="M19" i="13"/>
  <c r="R20" i="13"/>
  <c r="M85" i="7" s="1"/>
  <c r="O18" i="13"/>
  <c r="N18" i="13"/>
  <c r="M18" i="13"/>
  <c r="R17" i="13"/>
  <c r="M50" i="7" s="1"/>
  <c r="O17" i="13"/>
  <c r="N17" i="13"/>
  <c r="M17" i="13"/>
  <c r="R18" i="13"/>
  <c r="O16" i="13"/>
  <c r="N16" i="13"/>
  <c r="M16" i="13"/>
  <c r="R16" i="13"/>
  <c r="O15" i="13"/>
  <c r="N15" i="13"/>
  <c r="M15" i="13"/>
  <c r="R15" i="13"/>
  <c r="O14" i="13"/>
  <c r="N14" i="13"/>
  <c r="M14" i="13"/>
  <c r="R14" i="13"/>
  <c r="O13" i="13"/>
  <c r="N13" i="13"/>
  <c r="M13" i="13"/>
  <c r="O12" i="13"/>
  <c r="N12" i="13"/>
  <c r="M12" i="13"/>
  <c r="O20" i="12"/>
  <c r="N20" i="12"/>
  <c r="M20" i="12"/>
  <c r="O33" i="12"/>
  <c r="N33" i="12"/>
  <c r="M33" i="12"/>
  <c r="R33" i="12"/>
  <c r="L173" i="7" s="1"/>
  <c r="O26" i="12"/>
  <c r="N26" i="12"/>
  <c r="M26" i="12"/>
  <c r="O32" i="12"/>
  <c r="N32" i="12"/>
  <c r="M32" i="12"/>
  <c r="R32" i="12"/>
  <c r="O16" i="12"/>
  <c r="N16" i="12"/>
  <c r="M16" i="12"/>
  <c r="R16" i="12"/>
  <c r="O12" i="12"/>
  <c r="N12" i="12"/>
  <c r="M12" i="12"/>
  <c r="R12" i="12"/>
  <c r="O15" i="12"/>
  <c r="N15" i="12"/>
  <c r="M15" i="12"/>
  <c r="O28" i="12"/>
  <c r="N28" i="12"/>
  <c r="M28" i="12"/>
  <c r="R28" i="12"/>
  <c r="O29" i="12"/>
  <c r="N29" i="12"/>
  <c r="M29" i="12"/>
  <c r="O13" i="12"/>
  <c r="N13" i="12"/>
  <c r="M13" i="12"/>
  <c r="R13" i="12"/>
  <c r="L108" i="7" s="1"/>
  <c r="O22" i="12"/>
  <c r="N22" i="12"/>
  <c r="M22" i="12"/>
  <c r="O21" i="12"/>
  <c r="N21" i="12"/>
  <c r="M21" i="12"/>
  <c r="P21" i="12" s="1"/>
  <c r="K53" i="6" s="1"/>
  <c r="O17" i="12"/>
  <c r="N17" i="12"/>
  <c r="M17" i="12"/>
  <c r="O19" i="12"/>
  <c r="N19" i="12"/>
  <c r="M19" i="12"/>
  <c r="R19" i="12"/>
  <c r="O31" i="12"/>
  <c r="N31" i="12"/>
  <c r="M31" i="12"/>
  <c r="R31" i="12"/>
  <c r="L42" i="7" s="1"/>
  <c r="O30" i="12"/>
  <c r="N30" i="12"/>
  <c r="M30" i="12"/>
  <c r="O27" i="12"/>
  <c r="N27" i="12"/>
  <c r="M27" i="12"/>
  <c r="R27" i="12"/>
  <c r="L39" i="7" s="1"/>
  <c r="O24" i="12"/>
  <c r="N24" i="12"/>
  <c r="M24" i="12"/>
  <c r="R24" i="12"/>
  <c r="L33" i="7" s="1"/>
  <c r="O14" i="12"/>
  <c r="N14" i="12"/>
  <c r="M14" i="12"/>
  <c r="R14" i="12"/>
  <c r="L31" i="7" s="1"/>
  <c r="O25" i="12"/>
  <c r="N25" i="12"/>
  <c r="M25" i="12"/>
  <c r="R25" i="12"/>
  <c r="L25" i="7" s="1"/>
  <c r="O18" i="12"/>
  <c r="N18" i="12"/>
  <c r="M18" i="12"/>
  <c r="R18" i="12"/>
  <c r="L11" i="7" s="1"/>
  <c r="O23" i="12"/>
  <c r="N23" i="12"/>
  <c r="M23" i="12"/>
  <c r="J15" i="5"/>
  <c r="J18" i="5"/>
  <c r="J16" i="5"/>
  <c r="J19" i="5"/>
  <c r="J21" i="5"/>
  <c r="J23" i="5"/>
  <c r="J24" i="5"/>
  <c r="J25" i="5"/>
  <c r="J27" i="5"/>
  <c r="J28" i="5"/>
  <c r="J30" i="5"/>
  <c r="J31" i="5"/>
  <c r="J33" i="5"/>
  <c r="J35" i="5"/>
  <c r="J36" i="5"/>
  <c r="J40" i="5"/>
  <c r="J41" i="5"/>
  <c r="J43" i="5"/>
  <c r="J44" i="5"/>
  <c r="J48" i="5"/>
  <c r="J49" i="5"/>
  <c r="J52" i="5"/>
  <c r="J53" i="5"/>
  <c r="J54" i="5"/>
  <c r="J55" i="5"/>
  <c r="J57" i="5"/>
  <c r="J58" i="5"/>
  <c r="J60" i="5"/>
  <c r="J61" i="5"/>
  <c r="J67" i="5"/>
  <c r="J65" i="5"/>
  <c r="C30" i="6"/>
  <c r="C39" i="6"/>
  <c r="C6" i="6"/>
  <c r="C10" i="6"/>
  <c r="C12" i="6"/>
  <c r="C47" i="6"/>
  <c r="C11" i="6"/>
  <c r="C9" i="6"/>
  <c r="C17" i="6"/>
  <c r="C25" i="6"/>
  <c r="C22" i="6"/>
  <c r="C24" i="6"/>
  <c r="C14" i="6"/>
  <c r="C20" i="6"/>
  <c r="C13" i="6"/>
  <c r="C66" i="6"/>
  <c r="C28" i="6"/>
  <c r="C16" i="6"/>
  <c r="C76" i="6"/>
  <c r="C32" i="6"/>
  <c r="C81" i="6"/>
  <c r="C87" i="6"/>
  <c r="C21" i="6"/>
  <c r="C33" i="6"/>
  <c r="C43" i="6"/>
  <c r="C62" i="6"/>
  <c r="C117" i="6"/>
  <c r="C56" i="6"/>
  <c r="C40" i="6"/>
  <c r="C128" i="6"/>
  <c r="C124" i="6"/>
  <c r="C51" i="6"/>
  <c r="C165" i="6"/>
  <c r="C100" i="6"/>
  <c r="C152" i="6"/>
  <c r="C166" i="6"/>
  <c r="C35" i="6"/>
  <c r="C167" i="6"/>
  <c r="C168" i="6"/>
  <c r="C148" i="6"/>
  <c r="C91" i="6"/>
  <c r="C169" i="6"/>
  <c r="C170" i="6"/>
  <c r="C171" i="6"/>
  <c r="C19" i="6"/>
  <c r="C49" i="6"/>
  <c r="C50" i="6"/>
  <c r="C23" i="6"/>
  <c r="C54" i="6"/>
  <c r="C61" i="6"/>
  <c r="C64" i="6"/>
  <c r="C18" i="6"/>
  <c r="C29" i="6"/>
  <c r="C75" i="6"/>
  <c r="C80" i="6"/>
  <c r="C95" i="6"/>
  <c r="C99" i="6"/>
  <c r="C105" i="6"/>
  <c r="C114" i="6"/>
  <c r="C119" i="6"/>
  <c r="C44" i="6"/>
  <c r="C72" i="6"/>
  <c r="C133" i="6"/>
  <c r="C41" i="6"/>
  <c r="C142" i="6"/>
  <c r="C144" i="6"/>
  <c r="C101" i="6"/>
  <c r="C156" i="6"/>
  <c r="C31" i="6"/>
  <c r="C67" i="6"/>
  <c r="C158" i="6"/>
  <c r="C160" i="6"/>
  <c r="C150" i="6"/>
  <c r="C161" i="6"/>
  <c r="C79" i="6"/>
  <c r="C162" i="6"/>
  <c r="C163" i="6"/>
  <c r="C149" i="6"/>
  <c r="C52" i="6"/>
  <c r="C37" i="6"/>
  <c r="C46" i="6"/>
  <c r="C70" i="6"/>
  <c r="C120" i="6"/>
  <c r="C110" i="6"/>
  <c r="C127" i="6"/>
  <c r="C36" i="6"/>
  <c r="C88" i="6"/>
  <c r="C112" i="6"/>
  <c r="C26" i="6"/>
  <c r="C118" i="6"/>
  <c r="C53" i="6"/>
  <c r="C48" i="6"/>
  <c r="C83" i="6"/>
  <c r="C84" i="6"/>
  <c r="C89" i="6"/>
  <c r="C90" i="6"/>
  <c r="C55" i="6"/>
  <c r="C65" i="6"/>
  <c r="C104" i="6"/>
  <c r="C106" i="6"/>
  <c r="C8" i="6"/>
  <c r="N13" i="10"/>
  <c r="O13" i="10"/>
  <c r="N14" i="10"/>
  <c r="O14" i="10"/>
  <c r="N15" i="10"/>
  <c r="O15" i="10"/>
  <c r="N16" i="10"/>
  <c r="O16" i="10"/>
  <c r="N17" i="10"/>
  <c r="O17" i="10"/>
  <c r="N18" i="10"/>
  <c r="O18" i="10"/>
  <c r="N19" i="10"/>
  <c r="O19" i="10"/>
  <c r="N20" i="10"/>
  <c r="O20" i="10"/>
  <c r="N22" i="10"/>
  <c r="O22" i="10"/>
  <c r="N23" i="10"/>
  <c r="O23" i="10"/>
  <c r="N24" i="10"/>
  <c r="O24" i="10"/>
  <c r="N25" i="10"/>
  <c r="O25" i="10"/>
  <c r="N26" i="10"/>
  <c r="O26" i="10"/>
  <c r="N27" i="10"/>
  <c r="O27" i="10"/>
  <c r="N28" i="10"/>
  <c r="O28" i="10"/>
  <c r="N29" i="10"/>
  <c r="O29" i="10"/>
  <c r="N30" i="10"/>
  <c r="O30" i="10"/>
  <c r="N31" i="10"/>
  <c r="O31" i="10"/>
  <c r="N32" i="10"/>
  <c r="O32" i="10"/>
  <c r="N33" i="10"/>
  <c r="O33" i="10"/>
  <c r="N34" i="10"/>
  <c r="O34" i="10"/>
  <c r="N35" i="10"/>
  <c r="O35" i="10"/>
  <c r="N36" i="10"/>
  <c r="O36" i="10"/>
  <c r="N37" i="10"/>
  <c r="O37" i="10"/>
  <c r="N38" i="10"/>
  <c r="O38" i="10"/>
  <c r="N39" i="10"/>
  <c r="O39" i="10"/>
  <c r="N40" i="10"/>
  <c r="O40" i="10"/>
  <c r="N41" i="10"/>
  <c r="O41" i="10"/>
  <c r="N42" i="10"/>
  <c r="O42" i="10"/>
  <c r="N43" i="10"/>
  <c r="O43" i="10"/>
  <c r="N44" i="10"/>
  <c r="O44" i="10"/>
  <c r="O12" i="10"/>
  <c r="N12" i="10"/>
  <c r="J37" i="5"/>
  <c r="N13" i="9"/>
  <c r="O13" i="9"/>
  <c r="N14" i="9"/>
  <c r="O14" i="9"/>
  <c r="N15" i="9"/>
  <c r="O15" i="9"/>
  <c r="N16" i="9"/>
  <c r="O16" i="9"/>
  <c r="N17" i="9"/>
  <c r="O17" i="9"/>
  <c r="N18" i="9"/>
  <c r="O18" i="9"/>
  <c r="N19" i="9"/>
  <c r="O19" i="9"/>
  <c r="N20" i="9"/>
  <c r="O20" i="9"/>
  <c r="N21" i="9"/>
  <c r="O21" i="9"/>
  <c r="N22" i="9"/>
  <c r="O22" i="9"/>
  <c r="N23" i="9"/>
  <c r="O23" i="9"/>
  <c r="N24" i="9"/>
  <c r="O24" i="9"/>
  <c r="N25" i="9"/>
  <c r="O25" i="9"/>
  <c r="N26" i="9"/>
  <c r="O26" i="9"/>
  <c r="N27" i="9"/>
  <c r="O27" i="9"/>
  <c r="N28" i="9"/>
  <c r="O28" i="9"/>
  <c r="N29" i="9"/>
  <c r="O29" i="9"/>
  <c r="N30" i="9"/>
  <c r="O30" i="9"/>
  <c r="N31" i="9"/>
  <c r="O31" i="9"/>
  <c r="N32" i="9"/>
  <c r="O32" i="9"/>
  <c r="N33" i="9"/>
  <c r="O33" i="9"/>
  <c r="N34" i="9"/>
  <c r="O34" i="9"/>
  <c r="N35" i="9"/>
  <c r="O35" i="9"/>
  <c r="N36" i="9"/>
  <c r="O36" i="9"/>
  <c r="N37" i="9"/>
  <c r="O37" i="9"/>
  <c r="N38" i="9"/>
  <c r="O38" i="9"/>
  <c r="N39" i="9"/>
  <c r="O39" i="9"/>
  <c r="N40" i="9"/>
  <c r="O40" i="9"/>
  <c r="N41" i="9"/>
  <c r="O41" i="9"/>
  <c r="N42" i="9"/>
  <c r="O42" i="9"/>
  <c r="N43" i="9"/>
  <c r="O43" i="9"/>
  <c r="N44" i="9"/>
  <c r="O44" i="9"/>
  <c r="O12" i="9"/>
  <c r="N12" i="9"/>
  <c r="J17" i="5"/>
  <c r="J22" i="5"/>
  <c r="J20" i="5"/>
  <c r="J26" i="5"/>
  <c r="J29" i="5"/>
  <c r="J34" i="5"/>
  <c r="J38" i="5"/>
  <c r="J42" i="5"/>
  <c r="J45" i="5"/>
  <c r="J62" i="5"/>
  <c r="J64" i="5"/>
  <c r="J12" i="5"/>
  <c r="J13" i="5"/>
  <c r="J14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12" i="5"/>
  <c r="I137" i="7" l="1"/>
  <c r="I89" i="7"/>
  <c r="O38" i="6"/>
  <c r="O6" i="6"/>
  <c r="O24" i="6"/>
  <c r="O123" i="6"/>
  <c r="S123" i="6" s="1"/>
  <c r="T123" i="6" s="1"/>
  <c r="O9" i="6"/>
  <c r="O18" i="6"/>
  <c r="O107" i="6"/>
  <c r="Q107" i="6" s="1"/>
  <c r="O10" i="6"/>
  <c r="P12" i="16"/>
  <c r="O15" i="6" s="1"/>
  <c r="O12" i="6"/>
  <c r="O69" i="6"/>
  <c r="S69" i="6" s="1"/>
  <c r="T69" i="6" s="1"/>
  <c r="O14" i="6"/>
  <c r="O7" i="6"/>
  <c r="O29" i="6"/>
  <c r="O59" i="6"/>
  <c r="O67" i="6"/>
  <c r="O129" i="6"/>
  <c r="S129" i="6" s="1"/>
  <c r="T129" i="6" s="1"/>
  <c r="L137" i="7"/>
  <c r="L144" i="7"/>
  <c r="L56" i="7"/>
  <c r="L57" i="7"/>
  <c r="L127" i="7"/>
  <c r="L134" i="7"/>
  <c r="L142" i="7"/>
  <c r="L149" i="7"/>
  <c r="L113" i="7"/>
  <c r="L118" i="7"/>
  <c r="J89" i="7"/>
  <c r="J26" i="7"/>
  <c r="J31" i="7"/>
  <c r="J60" i="7"/>
  <c r="J61" i="7"/>
  <c r="J80" i="7"/>
  <c r="J83" i="7"/>
  <c r="J137" i="7"/>
  <c r="J151" i="7"/>
  <c r="J159" i="7"/>
  <c r="J121" i="7"/>
  <c r="J128" i="7"/>
  <c r="J118" i="7"/>
  <c r="J123" i="7"/>
  <c r="J66" i="7"/>
  <c r="J68" i="7"/>
  <c r="J158" i="7"/>
  <c r="J166" i="7"/>
  <c r="J100" i="7"/>
  <c r="J104" i="7"/>
  <c r="J71" i="7"/>
  <c r="J102" i="7"/>
  <c r="J107" i="7"/>
  <c r="J163" i="7"/>
  <c r="J171" i="7"/>
  <c r="J115" i="7"/>
  <c r="J120" i="7"/>
  <c r="J74" i="7"/>
  <c r="J76" i="7"/>
  <c r="J73" i="7"/>
  <c r="J126" i="7"/>
  <c r="J133" i="7"/>
  <c r="J92" i="7"/>
  <c r="J96" i="7"/>
  <c r="J157" i="7"/>
  <c r="J165" i="7"/>
  <c r="J134" i="7"/>
  <c r="J141" i="7"/>
  <c r="J117" i="7"/>
  <c r="J122" i="7"/>
  <c r="J114" i="7"/>
  <c r="J119" i="7"/>
  <c r="J156" i="7"/>
  <c r="J164" i="7"/>
  <c r="J135" i="7"/>
  <c r="J142" i="7"/>
  <c r="J70" i="7"/>
  <c r="J72" i="7"/>
  <c r="J103" i="7"/>
  <c r="J108" i="7"/>
  <c r="J147" i="7"/>
  <c r="I132" i="7"/>
  <c r="I53" i="7"/>
  <c r="I54" i="7"/>
  <c r="I126" i="7"/>
  <c r="I133" i="7"/>
  <c r="I58" i="7"/>
  <c r="I59" i="7"/>
  <c r="I129" i="7"/>
  <c r="I136" i="7"/>
  <c r="I33" i="7"/>
  <c r="I146" i="7"/>
  <c r="I65" i="7"/>
  <c r="I67" i="7"/>
  <c r="I43" i="7"/>
  <c r="I113" i="7"/>
  <c r="I139" i="7"/>
  <c r="I107" i="7"/>
  <c r="I71" i="7"/>
  <c r="I73" i="7"/>
  <c r="I57" i="7"/>
  <c r="I13" i="7"/>
  <c r="I112" i="7"/>
  <c r="I95" i="7"/>
  <c r="I163" i="7"/>
  <c r="I117" i="7"/>
  <c r="I64" i="7"/>
  <c r="I36" i="7"/>
  <c r="I109" i="7"/>
  <c r="I114" i="7"/>
  <c r="I2" i="7"/>
  <c r="I92" i="7"/>
  <c r="I75" i="7"/>
  <c r="I131" i="7"/>
  <c r="I6" i="7"/>
  <c r="I160" i="7"/>
  <c r="I85" i="7"/>
  <c r="I104" i="7"/>
  <c r="I156" i="7"/>
  <c r="I164" i="7"/>
  <c r="I106" i="7"/>
  <c r="I111" i="7"/>
  <c r="I88" i="7"/>
  <c r="I77" i="7"/>
  <c r="I124" i="7"/>
  <c r="I122" i="7"/>
  <c r="I151" i="7"/>
  <c r="I159" i="7"/>
  <c r="I47" i="7"/>
  <c r="I56" i="7"/>
  <c r="I99" i="7"/>
  <c r="M87" i="7"/>
  <c r="M96" i="7"/>
  <c r="M165" i="7"/>
  <c r="M157" i="7"/>
  <c r="M59" i="7"/>
  <c r="M131" i="7"/>
  <c r="M138" i="7"/>
  <c r="M58" i="7"/>
  <c r="M57" i="7"/>
  <c r="M169" i="7"/>
  <c r="M89" i="7"/>
  <c r="M109" i="7"/>
  <c r="M114" i="7"/>
  <c r="M61" i="7"/>
  <c r="M172" i="7"/>
  <c r="M139" i="7"/>
  <c r="M146" i="7"/>
  <c r="M76" i="7"/>
  <c r="M78" i="7"/>
  <c r="M164" i="7"/>
  <c r="M62" i="7"/>
  <c r="M100" i="7"/>
  <c r="M104" i="7"/>
  <c r="M102" i="7"/>
  <c r="M107" i="7"/>
  <c r="M97" i="7"/>
  <c r="M101" i="7"/>
  <c r="M36" i="6"/>
  <c r="M32" i="6"/>
  <c r="O31" i="6"/>
  <c r="O44" i="6"/>
  <c r="O17" i="6"/>
  <c r="O46" i="6"/>
  <c r="O16" i="6"/>
  <c r="O35" i="6"/>
  <c r="O135" i="6"/>
  <c r="Q135" i="6" s="1"/>
  <c r="O41" i="6"/>
  <c r="O60" i="6"/>
  <c r="Q60" i="6" s="1"/>
  <c r="Q131" i="6"/>
  <c r="S131" i="6"/>
  <c r="T131" i="6" s="1"/>
  <c r="P51" i="16"/>
  <c r="O151" i="6" s="1"/>
  <c r="P31" i="16"/>
  <c r="O25" i="6" s="1"/>
  <c r="P47" i="16"/>
  <c r="O40" i="6" s="1"/>
  <c r="P50" i="16"/>
  <c r="O146" i="6" s="1"/>
  <c r="P52" i="16"/>
  <c r="O173" i="6" s="1"/>
  <c r="G213" i="6"/>
  <c r="Q213" i="6" s="1"/>
  <c r="G212" i="6"/>
  <c r="Q212" i="6" s="1"/>
  <c r="G205" i="6"/>
  <c r="Q205" i="6" s="1"/>
  <c r="G210" i="6"/>
  <c r="Q210" i="6" s="1"/>
  <c r="G211" i="6"/>
  <c r="Q211" i="6" s="1"/>
  <c r="P33" i="15"/>
  <c r="P18" i="15"/>
  <c r="N36" i="6" s="1"/>
  <c r="P20" i="15"/>
  <c r="P28" i="15"/>
  <c r="P34" i="15"/>
  <c r="P36" i="15"/>
  <c r="P26" i="15"/>
  <c r="P15" i="15"/>
  <c r="P17" i="15"/>
  <c r="N13" i="6" s="1"/>
  <c r="P19" i="15"/>
  <c r="N11" i="6" s="1"/>
  <c r="P21" i="15"/>
  <c r="N9" i="6" s="1"/>
  <c r="P23" i="15"/>
  <c r="P25" i="15"/>
  <c r="P27" i="15"/>
  <c r="P29" i="15"/>
  <c r="P31" i="15"/>
  <c r="P35" i="15"/>
  <c r="P37" i="15"/>
  <c r="P14" i="15"/>
  <c r="N15" i="6" s="1"/>
  <c r="P16" i="15"/>
  <c r="P22" i="15"/>
  <c r="N33" i="6" s="1"/>
  <c r="P24" i="15"/>
  <c r="N14" i="6" s="1"/>
  <c r="P30" i="15"/>
  <c r="P32" i="15"/>
  <c r="P38" i="15"/>
  <c r="N122" i="6" s="1"/>
  <c r="I17" i="7"/>
  <c r="M56" i="7"/>
  <c r="M13" i="7"/>
  <c r="M92" i="7"/>
  <c r="P31" i="14"/>
  <c r="P35" i="14"/>
  <c r="P43" i="14"/>
  <c r="P49" i="14"/>
  <c r="P51" i="14"/>
  <c r="P55" i="14"/>
  <c r="P57" i="14"/>
  <c r="P59" i="14"/>
  <c r="P61" i="14"/>
  <c r="P63" i="14"/>
  <c r="P29" i="14"/>
  <c r="P33" i="14"/>
  <c r="P37" i="14"/>
  <c r="P41" i="14"/>
  <c r="M126" i="6" s="1"/>
  <c r="S126" i="6" s="1"/>
  <c r="P45" i="14"/>
  <c r="P53" i="14"/>
  <c r="P12" i="14"/>
  <c r="P14" i="14"/>
  <c r="M12" i="6" s="1"/>
  <c r="P16" i="14"/>
  <c r="M7" i="6" s="1"/>
  <c r="P18" i="14"/>
  <c r="M23" i="6" s="1"/>
  <c r="P20" i="14"/>
  <c r="M9" i="6" s="1"/>
  <c r="P22" i="14"/>
  <c r="M17" i="6" s="1"/>
  <c r="P24" i="14"/>
  <c r="M14" i="6" s="1"/>
  <c r="P26" i="14"/>
  <c r="M28" i="6" s="1"/>
  <c r="P28" i="14"/>
  <c r="M24" i="6" s="1"/>
  <c r="P30" i="14"/>
  <c r="P32" i="14"/>
  <c r="P34" i="14"/>
  <c r="P36" i="14"/>
  <c r="M10" i="6" s="1"/>
  <c r="P38" i="14"/>
  <c r="M48" i="6" s="1"/>
  <c r="P40" i="14"/>
  <c r="P42" i="14"/>
  <c r="P44" i="14"/>
  <c r="P46" i="14"/>
  <c r="M86" i="6" s="1"/>
  <c r="P48" i="14"/>
  <c r="P50" i="14"/>
  <c r="P52" i="14"/>
  <c r="P54" i="14"/>
  <c r="P56" i="14"/>
  <c r="P58" i="14"/>
  <c r="M90" i="6" s="1"/>
  <c r="P60" i="14"/>
  <c r="M179" i="6" s="1"/>
  <c r="S179" i="6" s="1"/>
  <c r="P62" i="14"/>
  <c r="M178" i="6" s="1"/>
  <c r="S178" i="6" s="1"/>
  <c r="P64" i="14"/>
  <c r="P49" i="9"/>
  <c r="P60" i="9"/>
  <c r="H148" i="6" s="1"/>
  <c r="P56" i="9"/>
  <c r="H67" i="6" s="1"/>
  <c r="J49" i="9"/>
  <c r="J32" i="9"/>
  <c r="I25" i="9"/>
  <c r="J25" i="9" s="1"/>
  <c r="J17" i="9"/>
  <c r="J64" i="9"/>
  <c r="J56" i="9"/>
  <c r="J55" i="9"/>
  <c r="J33" i="9"/>
  <c r="J22" i="9"/>
  <c r="P65" i="9"/>
  <c r="P63" i="9"/>
  <c r="H161" i="6" s="1"/>
  <c r="J45" i="9"/>
  <c r="J30" i="9"/>
  <c r="I43" i="9"/>
  <c r="J43" i="9" s="1"/>
  <c r="P54" i="9"/>
  <c r="H156" i="6" s="1"/>
  <c r="P53" i="9"/>
  <c r="R53" i="9"/>
  <c r="J36" i="7" s="1"/>
  <c r="J35" i="9"/>
  <c r="P13" i="13"/>
  <c r="L9" i="6" s="1"/>
  <c r="P20" i="12"/>
  <c r="K21" i="6" s="1"/>
  <c r="R20" i="12"/>
  <c r="L177" i="7" s="1"/>
  <c r="P22" i="12"/>
  <c r="K14" i="6" s="1"/>
  <c r="R22" i="12"/>
  <c r="P29" i="12"/>
  <c r="K79" i="6" s="1"/>
  <c r="R29" i="12"/>
  <c r="P15" i="12"/>
  <c r="K65" i="6" s="1"/>
  <c r="S65" i="6" s="1"/>
  <c r="R15" i="12"/>
  <c r="P26" i="12"/>
  <c r="K83" i="6" s="1"/>
  <c r="S83" i="6" s="1"/>
  <c r="R26" i="12"/>
  <c r="P17" i="12"/>
  <c r="K9" i="6" s="1"/>
  <c r="R17" i="12"/>
  <c r="P31" i="12"/>
  <c r="K104" i="6" s="1"/>
  <c r="S104" i="6" s="1"/>
  <c r="P19" i="12"/>
  <c r="K22" i="6" s="1"/>
  <c r="P30" i="12"/>
  <c r="K55" i="6" s="1"/>
  <c r="P23" i="12"/>
  <c r="K48" i="6" s="1"/>
  <c r="P16" i="12"/>
  <c r="K42" i="6" s="1"/>
  <c r="P18" i="12"/>
  <c r="K23" i="6" s="1"/>
  <c r="P14" i="12"/>
  <c r="K7" i="6" s="1"/>
  <c r="P27" i="12"/>
  <c r="K90" i="6" s="1"/>
  <c r="P28" i="12"/>
  <c r="K84" i="6" s="1"/>
  <c r="S84" i="6" s="1"/>
  <c r="P32" i="12"/>
  <c r="K106" i="6" s="1"/>
  <c r="S106" i="6" s="1"/>
  <c r="P33" i="12"/>
  <c r="K91" i="6" s="1"/>
  <c r="P25" i="12"/>
  <c r="K89" i="6" s="1"/>
  <c r="S89" i="6" s="1"/>
  <c r="P24" i="12"/>
  <c r="K40" i="6" s="1"/>
  <c r="P13" i="12"/>
  <c r="K6" i="6" s="1"/>
  <c r="P12" i="12"/>
  <c r="K15" i="6" s="1"/>
  <c r="P66" i="9"/>
  <c r="H163" i="6" s="1"/>
  <c r="P62" i="9"/>
  <c r="H150" i="6" s="1"/>
  <c r="P64" i="9"/>
  <c r="H79" i="6" s="1"/>
  <c r="P58" i="9"/>
  <c r="H158" i="6" s="1"/>
  <c r="P50" i="9"/>
  <c r="H144" i="6" s="1"/>
  <c r="P61" i="9"/>
  <c r="H160" i="6" s="1"/>
  <c r="P57" i="9"/>
  <c r="H157" i="6" s="1"/>
  <c r="P46" i="9"/>
  <c r="P59" i="9"/>
  <c r="H159" i="6" s="1"/>
  <c r="P52" i="9"/>
  <c r="H42" i="6" s="1"/>
  <c r="P45" i="9"/>
  <c r="P47" i="9"/>
  <c r="H133" i="6" s="1"/>
  <c r="P55" i="9"/>
  <c r="H31" i="6" s="1"/>
  <c r="P48" i="9"/>
  <c r="H41" i="6" s="1"/>
  <c r="J29" i="9"/>
  <c r="P51" i="9"/>
  <c r="J52" i="9"/>
  <c r="J48" i="9"/>
  <c r="J42" i="9"/>
  <c r="J34" i="9"/>
  <c r="J31" i="9"/>
  <c r="J13" i="9"/>
  <c r="J27" i="9"/>
  <c r="J21" i="9"/>
  <c r="J24" i="9"/>
  <c r="J46" i="9"/>
  <c r="J23" i="9"/>
  <c r="J41" i="9"/>
  <c r="J36" i="9"/>
  <c r="J51" i="9"/>
  <c r="J40" i="9"/>
  <c r="J58" i="9"/>
  <c r="J39" i="9"/>
  <c r="J57" i="9"/>
  <c r="J54" i="9"/>
  <c r="J37" i="9"/>
  <c r="J47" i="9"/>
  <c r="J65" i="9"/>
  <c r="J60" i="9"/>
  <c r="J61" i="9"/>
  <c r="J53" i="9"/>
  <c r="J44" i="9"/>
  <c r="J59" i="9"/>
  <c r="J63" i="9"/>
  <c r="J20" i="9"/>
  <c r="J19" i="9"/>
  <c r="J66" i="9"/>
  <c r="J38" i="9"/>
  <c r="J28" i="9"/>
  <c r="J18" i="9"/>
  <c r="J50" i="9"/>
  <c r="S107" i="6" l="1"/>
  <c r="T107" i="6" s="1"/>
  <c r="V107" i="6" s="1"/>
  <c r="Q123" i="6"/>
  <c r="V123" i="6" s="1"/>
  <c r="M174" i="6"/>
  <c r="S174" i="6" s="1"/>
  <c r="T174" i="6" s="1"/>
  <c r="M26" i="6"/>
  <c r="M57" i="6"/>
  <c r="M109" i="6"/>
  <c r="S109" i="6" s="1"/>
  <c r="T109" i="6" s="1"/>
  <c r="M175" i="6"/>
  <c r="S175" i="6" s="1"/>
  <c r="T175" i="6" s="1"/>
  <c r="M13" i="6"/>
  <c r="M43" i="6"/>
  <c r="M115" i="6"/>
  <c r="S115" i="6" s="1"/>
  <c r="T115" i="6" s="1"/>
  <c r="M176" i="6"/>
  <c r="S176" i="6" s="1"/>
  <c r="T176" i="6" s="1"/>
  <c r="M53" i="6"/>
  <c r="S53" i="6" s="1"/>
  <c r="M35" i="6"/>
  <c r="M110" i="6"/>
  <c r="M16" i="6"/>
  <c r="M31" i="6"/>
  <c r="M91" i="6"/>
  <c r="S91" i="6" s="1"/>
  <c r="N28" i="6"/>
  <c r="N57" i="6"/>
  <c r="N45" i="6"/>
  <c r="O30" i="6"/>
  <c r="Q69" i="6"/>
  <c r="V69" i="6" s="1"/>
  <c r="Q129" i="6"/>
  <c r="V129" i="6" s="1"/>
  <c r="L160" i="7"/>
  <c r="L168" i="7"/>
  <c r="L110" i="7"/>
  <c r="L115" i="7"/>
  <c r="L116" i="7"/>
  <c r="L121" i="7"/>
  <c r="L71" i="7"/>
  <c r="L73" i="7"/>
  <c r="L91" i="7"/>
  <c r="L95" i="7"/>
  <c r="H101" i="6"/>
  <c r="J101" i="6" s="1"/>
  <c r="H162" i="6"/>
  <c r="J162" i="6" s="1"/>
  <c r="S162" i="6" s="1"/>
  <c r="H124" i="6"/>
  <c r="H72" i="6"/>
  <c r="H142" i="6"/>
  <c r="J142" i="6" s="1"/>
  <c r="S142" i="6" s="1"/>
  <c r="J144" i="7"/>
  <c r="M21" i="6"/>
  <c r="M186" i="6"/>
  <c r="S186" i="6" s="1"/>
  <c r="T186" i="6" s="1"/>
  <c r="M184" i="6"/>
  <c r="S184" i="6" s="1"/>
  <c r="T184" i="6" s="1"/>
  <c r="M185" i="6"/>
  <c r="M40" i="6"/>
  <c r="M59" i="6"/>
  <c r="M18" i="6"/>
  <c r="M180" i="6"/>
  <c r="S180" i="6" s="1"/>
  <c r="T180" i="6" s="1"/>
  <c r="M41" i="6"/>
  <c r="M137" i="6"/>
  <c r="M25" i="6"/>
  <c r="M177" i="6"/>
  <c r="S177" i="6" s="1"/>
  <c r="T177" i="6" s="1"/>
  <c r="M29" i="6"/>
  <c r="M37" i="6"/>
  <c r="M154" i="6"/>
  <c r="S154" i="6" s="1"/>
  <c r="T154" i="6" s="1"/>
  <c r="M55" i="6"/>
  <c r="M67" i="6"/>
  <c r="M79" i="6"/>
  <c r="M6" i="6"/>
  <c r="N16" i="6"/>
  <c r="N23" i="6"/>
  <c r="O138" i="6"/>
  <c r="S135" i="6"/>
  <c r="T135" i="6" s="1"/>
  <c r="V135" i="6" s="1"/>
  <c r="S60" i="6"/>
  <c r="T60" i="6" s="1"/>
  <c r="V60" i="6" s="1"/>
  <c r="V131" i="6"/>
  <c r="S173" i="6"/>
  <c r="T173" i="6" s="1"/>
  <c r="Q173" i="6"/>
  <c r="S146" i="6"/>
  <c r="T146" i="6" s="1"/>
  <c r="Q146" i="6"/>
  <c r="S151" i="6"/>
  <c r="T151" i="6" s="1"/>
  <c r="Q151" i="6"/>
  <c r="P54" i="16"/>
  <c r="N41" i="6"/>
  <c r="N12" i="6"/>
  <c r="N7" i="6"/>
  <c r="N44" i="6"/>
  <c r="N19" i="6"/>
  <c r="P41" i="15"/>
  <c r="N2" i="6" s="1"/>
  <c r="J157" i="6"/>
  <c r="S157" i="6" s="1"/>
  <c r="T157" i="6" s="1"/>
  <c r="J42" i="6"/>
  <c r="Q42" i="6" s="1"/>
  <c r="J159" i="6"/>
  <c r="Q159" i="6" s="1"/>
  <c r="S48" i="6"/>
  <c r="J158" i="6"/>
  <c r="S158" i="6" s="1"/>
  <c r="J79" i="6"/>
  <c r="J133" i="6"/>
  <c r="S133" i="6" s="1"/>
  <c r="J160" i="6"/>
  <c r="S160" i="6" s="1"/>
  <c r="J144" i="6"/>
  <c r="S144" i="6" s="1"/>
  <c r="J161" i="6"/>
  <c r="S161" i="6" s="1"/>
  <c r="J163" i="6"/>
  <c r="S163" i="6" s="1"/>
  <c r="J156" i="6"/>
  <c r="S156" i="6" s="1"/>
  <c r="J148" i="6"/>
  <c r="S148" i="6" s="1"/>
  <c r="S150" i="6"/>
  <c r="K3" i="6"/>
  <c r="N21" i="6"/>
  <c r="N101" i="6"/>
  <c r="N35" i="6"/>
  <c r="N18" i="6"/>
  <c r="N26" i="6"/>
  <c r="N20" i="6"/>
  <c r="N78" i="6"/>
  <c r="N63" i="6"/>
  <c r="N55" i="6"/>
  <c r="S122" i="6"/>
  <c r="T122" i="6" s="1"/>
  <c r="Q122" i="6"/>
  <c r="S90" i="6"/>
  <c r="T126" i="6"/>
  <c r="Q126" i="6"/>
  <c r="T178" i="6"/>
  <c r="Q178" i="6"/>
  <c r="M19" i="6"/>
  <c r="P72" i="14"/>
  <c r="M2" i="6" s="1"/>
  <c r="Q179" i="6"/>
  <c r="T179" i="6"/>
  <c r="P36" i="12"/>
  <c r="K2" i="6" s="1"/>
  <c r="T104" i="6"/>
  <c r="T106" i="6"/>
  <c r="J36" i="10"/>
  <c r="J33" i="10"/>
  <c r="J32" i="10"/>
  <c r="J30" i="10"/>
  <c r="J27" i="10"/>
  <c r="J15" i="10"/>
  <c r="J44" i="10"/>
  <c r="J16" i="10"/>
  <c r="J17" i="10"/>
  <c r="J31" i="10"/>
  <c r="J42" i="10"/>
  <c r="J37" i="10"/>
  <c r="J26" i="10"/>
  <c r="J39" i="10"/>
  <c r="J25" i="10"/>
  <c r="J35" i="10"/>
  <c r="J18" i="10"/>
  <c r="J28" i="10"/>
  <c r="J22" i="10"/>
  <c r="J14" i="10"/>
  <c r="J43" i="10"/>
  <c r="J34" i="10"/>
  <c r="J19" i="10"/>
  <c r="J20" i="10"/>
  <c r="J21" i="10"/>
  <c r="J41" i="10"/>
  <c r="J38" i="10"/>
  <c r="J40" i="10"/>
  <c r="J45" i="10"/>
  <c r="J24" i="10"/>
  <c r="J29" i="10"/>
  <c r="J12" i="10"/>
  <c r="Q109" i="6" l="1"/>
  <c r="V109" i="6" s="1"/>
  <c r="Q176" i="6"/>
  <c r="V176" i="6" s="1"/>
  <c r="Q174" i="6"/>
  <c r="V174" i="6" s="1"/>
  <c r="Q184" i="6"/>
  <c r="V184" i="6" s="1"/>
  <c r="Q175" i="6"/>
  <c r="V175" i="6" s="1"/>
  <c r="Q115" i="6"/>
  <c r="V115" i="6" s="1"/>
  <c r="Q180" i="6"/>
  <c r="V180" i="6" s="1"/>
  <c r="S55" i="6"/>
  <c r="S79" i="6"/>
  <c r="Q177" i="6"/>
  <c r="V177" i="6" s="1"/>
  <c r="Q186" i="6"/>
  <c r="V186" i="6" s="1"/>
  <c r="Q154" i="6"/>
  <c r="V154" i="6" s="1"/>
  <c r="M3" i="6"/>
  <c r="M4" i="6" s="1"/>
  <c r="O3" i="6"/>
  <c r="P55" i="16" s="1"/>
  <c r="K4" i="6"/>
  <c r="S59" i="6"/>
  <c r="T59" i="6" s="1"/>
  <c r="Q59" i="6"/>
  <c r="Q185" i="6"/>
  <c r="S185" i="6"/>
  <c r="T185" i="6" s="1"/>
  <c r="S137" i="6"/>
  <c r="T137" i="6" s="1"/>
  <c r="Q137" i="6"/>
  <c r="S138" i="6"/>
  <c r="T138" i="6" s="1"/>
  <c r="Q138" i="6"/>
  <c r="V173" i="6"/>
  <c r="V146" i="6"/>
  <c r="V151" i="6"/>
  <c r="O2" i="6"/>
  <c r="Q157" i="6"/>
  <c r="V157" i="6" s="1"/>
  <c r="S159" i="6"/>
  <c r="T159" i="6" s="1"/>
  <c r="V159" i="6" s="1"/>
  <c r="S42" i="6"/>
  <c r="T42" i="6" s="1"/>
  <c r="V42" i="6" s="1"/>
  <c r="S101" i="6"/>
  <c r="N3" i="6"/>
  <c r="N4" i="6" s="1"/>
  <c r="V122" i="6"/>
  <c r="V126" i="6"/>
  <c r="V178" i="6"/>
  <c r="V179" i="6"/>
  <c r="P37" i="12"/>
  <c r="M13" i="5"/>
  <c r="P13" i="5" s="1"/>
  <c r="M14" i="5"/>
  <c r="P14" i="5" s="1"/>
  <c r="M15" i="5"/>
  <c r="P15" i="5" s="1"/>
  <c r="M16" i="5"/>
  <c r="P16" i="5" s="1"/>
  <c r="M17" i="5"/>
  <c r="P17" i="5" s="1"/>
  <c r="M18" i="5"/>
  <c r="P18" i="5" s="1"/>
  <c r="M19" i="5"/>
  <c r="P19" i="5" s="1"/>
  <c r="M20" i="5"/>
  <c r="P20" i="5" s="1"/>
  <c r="M21" i="5"/>
  <c r="P21" i="5" s="1"/>
  <c r="M22" i="5"/>
  <c r="P22" i="5" s="1"/>
  <c r="M23" i="5"/>
  <c r="P23" i="5" s="1"/>
  <c r="M24" i="5"/>
  <c r="P24" i="5" s="1"/>
  <c r="M25" i="5"/>
  <c r="P25" i="5" s="1"/>
  <c r="M26" i="5"/>
  <c r="P26" i="5" s="1"/>
  <c r="M27" i="5"/>
  <c r="P27" i="5" s="1"/>
  <c r="M28" i="5"/>
  <c r="P28" i="5" s="1"/>
  <c r="M29" i="5"/>
  <c r="P29" i="5" s="1"/>
  <c r="M30" i="5"/>
  <c r="P30" i="5" s="1"/>
  <c r="M31" i="5"/>
  <c r="P31" i="5" s="1"/>
  <c r="M32" i="5"/>
  <c r="P32" i="5" s="1"/>
  <c r="M33" i="5"/>
  <c r="P33" i="5" s="1"/>
  <c r="M34" i="5"/>
  <c r="P34" i="5" s="1"/>
  <c r="M35" i="5"/>
  <c r="P35" i="5" s="1"/>
  <c r="M36" i="5"/>
  <c r="P36" i="5" s="1"/>
  <c r="M37" i="5"/>
  <c r="P37" i="5" s="1"/>
  <c r="M38" i="5"/>
  <c r="P38" i="5" s="1"/>
  <c r="M39" i="5"/>
  <c r="P39" i="5" s="1"/>
  <c r="M40" i="5"/>
  <c r="P40" i="5" s="1"/>
  <c r="M41" i="5"/>
  <c r="P41" i="5" s="1"/>
  <c r="M42" i="5"/>
  <c r="P42" i="5" s="1"/>
  <c r="M43" i="5"/>
  <c r="P43" i="5" s="1"/>
  <c r="M44" i="5"/>
  <c r="P44" i="5" s="1"/>
  <c r="M45" i="5"/>
  <c r="P45" i="5" s="1"/>
  <c r="M46" i="5"/>
  <c r="P46" i="5" s="1"/>
  <c r="M47" i="5"/>
  <c r="P47" i="5" s="1"/>
  <c r="M48" i="5"/>
  <c r="P48" i="5" s="1"/>
  <c r="M49" i="5"/>
  <c r="P49" i="5" s="1"/>
  <c r="M50" i="5"/>
  <c r="P50" i="5" s="1"/>
  <c r="M51" i="5"/>
  <c r="P51" i="5" s="1"/>
  <c r="M52" i="5"/>
  <c r="P52" i="5" s="1"/>
  <c r="M53" i="5"/>
  <c r="P53" i="5" s="1"/>
  <c r="M54" i="5"/>
  <c r="P54" i="5" s="1"/>
  <c r="M55" i="5"/>
  <c r="P55" i="5" s="1"/>
  <c r="M56" i="5"/>
  <c r="P56" i="5" s="1"/>
  <c r="T84" i="6"/>
  <c r="M57" i="5"/>
  <c r="P57" i="5" s="1"/>
  <c r="M13" i="10"/>
  <c r="P13" i="10" s="1"/>
  <c r="M14" i="10"/>
  <c r="P14" i="10" s="1"/>
  <c r="I52" i="6" s="1"/>
  <c r="M15" i="10"/>
  <c r="P15" i="10" s="1"/>
  <c r="I10" i="6" s="1"/>
  <c r="M16" i="10"/>
  <c r="P16" i="10" s="1"/>
  <c r="M17" i="10"/>
  <c r="P17" i="10" s="1"/>
  <c r="I7" i="6" s="1"/>
  <c r="M18" i="10"/>
  <c r="P18" i="10" s="1"/>
  <c r="I38" i="6" s="1"/>
  <c r="M19" i="10"/>
  <c r="P19" i="10" s="1"/>
  <c r="I11" i="6" s="1"/>
  <c r="M20" i="10"/>
  <c r="P20" i="10" s="1"/>
  <c r="M22" i="10"/>
  <c r="P22" i="10" s="1"/>
  <c r="M23" i="10"/>
  <c r="P23" i="10" s="1"/>
  <c r="I37" i="6" s="1"/>
  <c r="M24" i="10"/>
  <c r="P24" i="10" s="1"/>
  <c r="I36" i="6" s="1"/>
  <c r="M25" i="10"/>
  <c r="P25" i="10" s="1"/>
  <c r="M26" i="10"/>
  <c r="P26" i="10" s="1"/>
  <c r="I25" i="6" s="1"/>
  <c r="M27" i="10"/>
  <c r="P27" i="10" s="1"/>
  <c r="I16" i="6" s="1"/>
  <c r="M28" i="10"/>
  <c r="P28" i="10" s="1"/>
  <c r="I70" i="6" s="1"/>
  <c r="M29" i="10"/>
  <c r="P29" i="10" s="1"/>
  <c r="I33" i="6" s="1"/>
  <c r="M30" i="10"/>
  <c r="P30" i="10" s="1"/>
  <c r="I14" i="6" s="1"/>
  <c r="M31" i="10"/>
  <c r="P31" i="10" s="1"/>
  <c r="I26" i="6" s="1"/>
  <c r="M32" i="10"/>
  <c r="P32" i="10" s="1"/>
  <c r="I46" i="6" s="1"/>
  <c r="M33" i="10"/>
  <c r="P33" i="10" s="1"/>
  <c r="I17" i="6" s="1"/>
  <c r="M34" i="10"/>
  <c r="P34" i="10" s="1"/>
  <c r="I88" i="6" s="1"/>
  <c r="M35" i="10"/>
  <c r="P35" i="10" s="1"/>
  <c r="M36" i="10"/>
  <c r="P36" i="10" s="1"/>
  <c r="I35" i="6" s="1"/>
  <c r="M37" i="10"/>
  <c r="P37" i="10" s="1"/>
  <c r="I44" i="6" s="1"/>
  <c r="M38" i="10"/>
  <c r="P38" i="10" s="1"/>
  <c r="I72" i="6" s="1"/>
  <c r="M39" i="10"/>
  <c r="P39" i="10" s="1"/>
  <c r="I67" i="6" s="1"/>
  <c r="M40" i="10"/>
  <c r="P40" i="10" s="1"/>
  <c r="I112" i="6" s="1"/>
  <c r="M41" i="10"/>
  <c r="P41" i="10" s="1"/>
  <c r="I118" i="6" s="1"/>
  <c r="M42" i="10"/>
  <c r="P42" i="10" s="1"/>
  <c r="I120" i="6" s="1"/>
  <c r="M43" i="10"/>
  <c r="P43" i="10" s="1"/>
  <c r="M44" i="10"/>
  <c r="P44" i="10" s="1"/>
  <c r="I127" i="6" s="1"/>
  <c r="M12" i="10"/>
  <c r="P12" i="10" s="1"/>
  <c r="I6" i="6" s="1"/>
  <c r="M13" i="9"/>
  <c r="P13" i="9" s="1"/>
  <c r="H15" i="6" s="1"/>
  <c r="M14" i="9"/>
  <c r="P14" i="9" s="1"/>
  <c r="H7" i="6" s="1"/>
  <c r="H27" i="6"/>
  <c r="M16" i="9"/>
  <c r="M17" i="9"/>
  <c r="P17" i="9" s="1"/>
  <c r="H10" i="6" s="1"/>
  <c r="M18" i="9"/>
  <c r="P18" i="9" s="1"/>
  <c r="M19" i="9"/>
  <c r="P19" i="9" s="1"/>
  <c r="H49" i="6" s="1"/>
  <c r="M20" i="9"/>
  <c r="P20" i="9" s="1"/>
  <c r="M21" i="9"/>
  <c r="P21" i="9" s="1"/>
  <c r="H13" i="6" s="1"/>
  <c r="M22" i="9"/>
  <c r="P22" i="9" s="1"/>
  <c r="M23" i="9"/>
  <c r="P23" i="9" s="1"/>
  <c r="M24" i="9"/>
  <c r="P24" i="9" s="1"/>
  <c r="H11" i="6" s="1"/>
  <c r="M25" i="9"/>
  <c r="P25" i="9" s="1"/>
  <c r="H9" i="6" s="1"/>
  <c r="M26" i="9"/>
  <c r="P26" i="9" s="1"/>
  <c r="H54" i="6" s="1"/>
  <c r="M27" i="9"/>
  <c r="P27" i="9" s="1"/>
  <c r="H24" i="6" s="1"/>
  <c r="M28" i="9"/>
  <c r="P28" i="9" s="1"/>
  <c r="H45" i="6" s="1"/>
  <c r="M29" i="9"/>
  <c r="P29" i="9" s="1"/>
  <c r="H61" i="6" s="1"/>
  <c r="M30" i="9"/>
  <c r="P30" i="9" s="1"/>
  <c r="H64" i="6" s="1"/>
  <c r="M31" i="9"/>
  <c r="P31" i="9" s="1"/>
  <c r="M32" i="9"/>
  <c r="P32" i="9" s="1"/>
  <c r="H29" i="6" s="1"/>
  <c r="M33" i="9"/>
  <c r="P33" i="9" s="1"/>
  <c r="H20" i="6" s="1"/>
  <c r="M34" i="9"/>
  <c r="P34" i="9" s="1"/>
  <c r="M35" i="9"/>
  <c r="P35" i="9" s="1"/>
  <c r="H75" i="6" s="1"/>
  <c r="M36" i="9"/>
  <c r="P36" i="9" s="1"/>
  <c r="H35" i="6" s="1"/>
  <c r="M37" i="9"/>
  <c r="P37" i="9" s="1"/>
  <c r="H80" i="6" s="1"/>
  <c r="M38" i="9"/>
  <c r="P38" i="9" s="1"/>
  <c r="H33" i="6" s="1"/>
  <c r="M39" i="9"/>
  <c r="P39" i="9" s="1"/>
  <c r="H95" i="6" s="1"/>
  <c r="M40" i="9"/>
  <c r="P40" i="9" s="1"/>
  <c r="H99" i="6" s="1"/>
  <c r="M41" i="9"/>
  <c r="P41" i="9" s="1"/>
  <c r="H105" i="6" s="1"/>
  <c r="M42" i="9"/>
  <c r="P42" i="9" s="1"/>
  <c r="M43" i="9"/>
  <c r="P43" i="9" s="1"/>
  <c r="H114" i="6" s="1"/>
  <c r="M44" i="9"/>
  <c r="P44" i="9" s="1"/>
  <c r="M12" i="9"/>
  <c r="P12" i="9" s="1"/>
  <c r="M12" i="5"/>
  <c r="Q7" i="6" l="1"/>
  <c r="O4" i="6"/>
  <c r="I29" i="6"/>
  <c r="J29" i="6" s="1"/>
  <c r="S29" i="6" s="1"/>
  <c r="I27" i="6"/>
  <c r="I12" i="6"/>
  <c r="I110" i="6"/>
  <c r="I41" i="6"/>
  <c r="J41" i="6" s="1"/>
  <c r="S41" i="6" s="1"/>
  <c r="I9" i="6"/>
  <c r="I8" i="6"/>
  <c r="H18" i="6"/>
  <c r="H119" i="6"/>
  <c r="J119" i="6" s="1"/>
  <c r="H44" i="6"/>
  <c r="J44" i="6" s="1"/>
  <c r="S44" i="6" s="1"/>
  <c r="H50" i="6"/>
  <c r="J50" i="6" s="1"/>
  <c r="H40" i="6"/>
  <c r="H51" i="6"/>
  <c r="H17" i="6"/>
  <c r="H12" i="6"/>
  <c r="H23" i="6"/>
  <c r="J23" i="6" s="1"/>
  <c r="S23" i="6" s="1"/>
  <c r="V137" i="6"/>
  <c r="V185" i="6"/>
  <c r="V59" i="6"/>
  <c r="V138" i="6"/>
  <c r="P16" i="9"/>
  <c r="P68" i="9" s="1"/>
  <c r="H2" i="6" s="1"/>
  <c r="G8" i="6"/>
  <c r="G30" i="6"/>
  <c r="J30" i="6" s="1"/>
  <c r="S30" i="6" s="1"/>
  <c r="T30" i="6" s="1"/>
  <c r="G39" i="6"/>
  <c r="S39" i="6" s="1"/>
  <c r="G12" i="6"/>
  <c r="G166" i="6"/>
  <c r="J166" i="6" s="1"/>
  <c r="S166" i="6" s="1"/>
  <c r="T166" i="6" s="1"/>
  <c r="G139" i="6"/>
  <c r="S139" i="6" s="1"/>
  <c r="G103" i="6"/>
  <c r="J103" i="6" s="1"/>
  <c r="S103" i="6" s="1"/>
  <c r="G16" i="6"/>
  <c r="G25" i="6"/>
  <c r="S25" i="6" s="1"/>
  <c r="T25" i="6" s="1"/>
  <c r="G6" i="6"/>
  <c r="S6" i="6" s="1"/>
  <c r="T6" i="6" s="1"/>
  <c r="G152" i="6"/>
  <c r="S152" i="6" s="1"/>
  <c r="T152" i="6" s="1"/>
  <c r="G132" i="6"/>
  <c r="J132" i="6" s="1"/>
  <c r="S132" i="6" s="1"/>
  <c r="G33" i="6"/>
  <c r="J33" i="6" s="1"/>
  <c r="S33" i="6" s="1"/>
  <c r="G28" i="6"/>
  <c r="S28" i="6" s="1"/>
  <c r="T28" i="6" s="1"/>
  <c r="G17" i="6"/>
  <c r="J17" i="6" s="1"/>
  <c r="S17" i="6" s="1"/>
  <c r="G22" i="6"/>
  <c r="G66" i="6"/>
  <c r="J66" i="6" s="1"/>
  <c r="S66" i="6" s="1"/>
  <c r="G9" i="6"/>
  <c r="Q9" i="6" s="1"/>
  <c r="G43" i="6"/>
  <c r="G21" i="6"/>
  <c r="G165" i="6"/>
  <c r="J165" i="6" s="1"/>
  <c r="S165" i="6" s="1"/>
  <c r="T165" i="6" s="1"/>
  <c r="G40" i="6"/>
  <c r="G87" i="6"/>
  <c r="J87" i="6" s="1"/>
  <c r="S87" i="6" s="1"/>
  <c r="T87" i="6" s="1"/>
  <c r="G13" i="6"/>
  <c r="J13" i="6" s="1"/>
  <c r="G34" i="6"/>
  <c r="J34" i="6" s="1"/>
  <c r="G124" i="6"/>
  <c r="J124" i="6" s="1"/>
  <c r="S124" i="6" s="1"/>
  <c r="T124" i="6" s="1"/>
  <c r="G100" i="6"/>
  <c r="S100" i="6" s="1"/>
  <c r="T100" i="6" s="1"/>
  <c r="G56" i="6"/>
  <c r="J56" i="6" s="1"/>
  <c r="G81" i="6"/>
  <c r="J81" i="6" s="1"/>
  <c r="S81" i="6" s="1"/>
  <c r="G20" i="6"/>
  <c r="G11" i="6"/>
  <c r="J11" i="6" s="1"/>
  <c r="G74" i="6"/>
  <c r="J74" i="6" s="1"/>
  <c r="S74" i="6" s="1"/>
  <c r="G128" i="6"/>
  <c r="J128" i="6" s="1"/>
  <c r="S128" i="6" s="1"/>
  <c r="G35" i="6"/>
  <c r="J35" i="6" s="1"/>
  <c r="S35" i="6" s="1"/>
  <c r="G63" i="6"/>
  <c r="S63" i="6" s="1"/>
  <c r="G117" i="6"/>
  <c r="J117" i="6" s="1"/>
  <c r="S117" i="6" s="1"/>
  <c r="G32" i="6"/>
  <c r="G14" i="6"/>
  <c r="G10" i="6"/>
  <c r="G172" i="6"/>
  <c r="J172" i="6" s="1"/>
  <c r="S172" i="6" s="1"/>
  <c r="G149" i="6"/>
  <c r="J149" i="6" s="1"/>
  <c r="S149" i="6" s="1"/>
  <c r="G51" i="6"/>
  <c r="G62" i="6"/>
  <c r="S62" i="6" s="1"/>
  <c r="T62" i="6" s="1"/>
  <c r="G76" i="6"/>
  <c r="J76" i="6" s="1"/>
  <c r="S76" i="6" s="1"/>
  <c r="G24" i="6"/>
  <c r="J24" i="6" s="1"/>
  <c r="S24" i="6" s="1"/>
  <c r="G47" i="6"/>
  <c r="J47" i="6" s="1"/>
  <c r="S47" i="6" s="1"/>
  <c r="T47" i="6" s="1"/>
  <c r="J38" i="6"/>
  <c r="S38" i="6" s="1"/>
  <c r="T38" i="6" s="1"/>
  <c r="S7" i="6"/>
  <c r="T7" i="6" s="1"/>
  <c r="J15" i="6"/>
  <c r="S15" i="6" s="1"/>
  <c r="T15" i="6" s="1"/>
  <c r="H19" i="6"/>
  <c r="J45" i="6"/>
  <c r="S45" i="6" s="1"/>
  <c r="T45" i="6" s="1"/>
  <c r="Q27" i="6"/>
  <c r="J127" i="6"/>
  <c r="S127" i="6" s="1"/>
  <c r="J95" i="6"/>
  <c r="S95" i="6" s="1"/>
  <c r="J64" i="6"/>
  <c r="J67" i="6"/>
  <c r="J26" i="6"/>
  <c r="J37" i="6"/>
  <c r="S37" i="6" s="1"/>
  <c r="J52" i="6"/>
  <c r="S52" i="6" s="1"/>
  <c r="J99" i="6"/>
  <c r="J18" i="6"/>
  <c r="J80" i="6"/>
  <c r="S80" i="6" s="1"/>
  <c r="J61" i="6"/>
  <c r="S61" i="6" s="1"/>
  <c r="J72" i="6"/>
  <c r="J114" i="6"/>
  <c r="S114" i="6" s="1"/>
  <c r="J75" i="6"/>
  <c r="J49" i="6"/>
  <c r="S49" i="6" s="1"/>
  <c r="J70" i="6"/>
  <c r="S70" i="6" s="1"/>
  <c r="T70" i="6" s="1"/>
  <c r="J54" i="6"/>
  <c r="S54" i="6" s="1"/>
  <c r="J105" i="6"/>
  <c r="S105" i="6" s="1"/>
  <c r="J120" i="6"/>
  <c r="S120" i="6" s="1"/>
  <c r="J88" i="6"/>
  <c r="S88" i="6" s="1"/>
  <c r="J118" i="6"/>
  <c r="S118" i="6" s="1"/>
  <c r="J112" i="6"/>
  <c r="S112" i="6" s="1"/>
  <c r="J46" i="6"/>
  <c r="S46" i="6" s="1"/>
  <c r="J36" i="6"/>
  <c r="S36" i="6" s="1"/>
  <c r="S110" i="6"/>
  <c r="T110" i="6" s="1"/>
  <c r="P42" i="15"/>
  <c r="P73" i="14"/>
  <c r="T171" i="6"/>
  <c r="P70" i="5"/>
  <c r="T91" i="6"/>
  <c r="T168" i="6"/>
  <c r="T167" i="6"/>
  <c r="T169" i="6"/>
  <c r="P46" i="10"/>
  <c r="T55" i="6"/>
  <c r="T170" i="6"/>
  <c r="T53" i="6"/>
  <c r="T89" i="6"/>
  <c r="T83" i="6"/>
  <c r="T48" i="6"/>
  <c r="T65" i="6"/>
  <c r="T150" i="6"/>
  <c r="T90" i="6"/>
  <c r="T156" i="6"/>
  <c r="T79" i="6"/>
  <c r="S40" i="6" l="1"/>
  <c r="T40" i="6" s="1"/>
  <c r="I3" i="6"/>
  <c r="S51" i="6"/>
  <c r="T51" i="6" s="1"/>
  <c r="J12" i="6"/>
  <c r="S12" i="6" s="1"/>
  <c r="T12" i="6" s="1"/>
  <c r="Q6" i="6"/>
  <c r="S13" i="6"/>
  <c r="T13" i="6" s="1"/>
  <c r="Q13" i="6"/>
  <c r="H8" i="6"/>
  <c r="J8" i="6" s="1"/>
  <c r="I2" i="6"/>
  <c r="G3" i="6"/>
  <c r="P71" i="5" s="1"/>
  <c r="U78" i="5"/>
  <c r="G2" i="6"/>
  <c r="Q15" i="6"/>
  <c r="V15" i="6" s="1"/>
  <c r="V7" i="6"/>
  <c r="Q38" i="6"/>
  <c r="V38" i="6" s="1"/>
  <c r="J19" i="6"/>
  <c r="S19" i="6" s="1"/>
  <c r="T19" i="6" s="1"/>
  <c r="Q45" i="6"/>
  <c r="V45" i="6" s="1"/>
  <c r="T46" i="6"/>
  <c r="T118" i="6"/>
  <c r="T37" i="6"/>
  <c r="S99" i="6"/>
  <c r="T99" i="6" s="1"/>
  <c r="S119" i="6"/>
  <c r="T119" i="6" s="1"/>
  <c r="T36" i="6"/>
  <c r="T95" i="6"/>
  <c r="T52" i="6"/>
  <c r="T61" i="6"/>
  <c r="S75" i="6"/>
  <c r="T75" i="6" s="1"/>
  <c r="S50" i="6"/>
  <c r="T50" i="6" s="1"/>
  <c r="T112" i="6"/>
  <c r="T120" i="6"/>
  <c r="T80" i="6"/>
  <c r="S67" i="6"/>
  <c r="T67" i="6" s="1"/>
  <c r="S72" i="6"/>
  <c r="T72" i="6" s="1"/>
  <c r="S64" i="6"/>
  <c r="T64" i="6" s="1"/>
  <c r="T127" i="6"/>
  <c r="S27" i="6"/>
  <c r="T27" i="6" s="1"/>
  <c r="V27" i="6" s="1"/>
  <c r="S9" i="6"/>
  <c r="T9" i="6" s="1"/>
  <c r="T33" i="6"/>
  <c r="T29" i="6"/>
  <c r="T35" i="6"/>
  <c r="T41" i="6"/>
  <c r="T88" i="6"/>
  <c r="T54" i="6"/>
  <c r="Q132" i="6"/>
  <c r="T132" i="6"/>
  <c r="Q74" i="6"/>
  <c r="T74" i="6"/>
  <c r="T103" i="6"/>
  <c r="Q103" i="6"/>
  <c r="T139" i="6"/>
  <c r="Q139" i="6"/>
  <c r="Q172" i="6"/>
  <c r="T172" i="6"/>
  <c r="T63" i="6"/>
  <c r="Q63" i="6"/>
  <c r="T149" i="6"/>
  <c r="T144" i="6"/>
  <c r="T117" i="6"/>
  <c r="T160" i="6"/>
  <c r="T44" i="6"/>
  <c r="T17" i="6"/>
  <c r="T23" i="6"/>
  <c r="Q110" i="6"/>
  <c r="Q76" i="6"/>
  <c r="Q156" i="6"/>
  <c r="Q23" i="6"/>
  <c r="Q119" i="6"/>
  <c r="Q49" i="6"/>
  <c r="Q29" i="6"/>
  <c r="Q87" i="6"/>
  <c r="Q163" i="6"/>
  <c r="Q75" i="6"/>
  <c r="Q105" i="6"/>
  <c r="Q33" i="6"/>
  <c r="Q89" i="6"/>
  <c r="Q160" i="6"/>
  <c r="Q70" i="6"/>
  <c r="Q62" i="6"/>
  <c r="Q48" i="6"/>
  <c r="Q169" i="6"/>
  <c r="Q104" i="6"/>
  <c r="Q106" i="6"/>
  <c r="Q55" i="6"/>
  <c r="Q161" i="6"/>
  <c r="Q88" i="6"/>
  <c r="Q112" i="6"/>
  <c r="T66" i="6"/>
  <c r="T76" i="6"/>
  <c r="T24" i="6"/>
  <c r="T39" i="6"/>
  <c r="T81" i="6"/>
  <c r="T105" i="6"/>
  <c r="T114" i="6"/>
  <c r="T101" i="6"/>
  <c r="T148" i="6"/>
  <c r="T161" i="6"/>
  <c r="T162" i="6"/>
  <c r="T163" i="6"/>
  <c r="T49" i="6"/>
  <c r="Q79" i="6"/>
  <c r="Q8" i="6" l="1"/>
  <c r="I4" i="6"/>
  <c r="Q12" i="6"/>
  <c r="H3" i="6"/>
  <c r="P69" i="9" s="1"/>
  <c r="S8" i="6"/>
  <c r="T8" i="6" s="1"/>
  <c r="G4" i="6"/>
  <c r="J3" i="6"/>
  <c r="J4" i="6" s="1"/>
  <c r="Q19" i="6"/>
  <c r="V132" i="6"/>
  <c r="V63" i="6"/>
  <c r="V103" i="6"/>
  <c r="V172" i="6"/>
  <c r="V74" i="6"/>
  <c r="V139" i="6"/>
  <c r="V104" i="6"/>
  <c r="V112" i="6"/>
  <c r="V106" i="6"/>
  <c r="V88" i="6"/>
  <c r="V48" i="6"/>
  <c r="V110" i="6"/>
  <c r="V89" i="6"/>
  <c r="V70" i="6"/>
  <c r="V55" i="6"/>
  <c r="P47" i="10"/>
  <c r="V33" i="6"/>
  <c r="T128" i="6"/>
  <c r="T158" i="6"/>
  <c r="T142" i="6"/>
  <c r="T133" i="6"/>
  <c r="Q170" i="6"/>
  <c r="Q66" i="6"/>
  <c r="Q30" i="6"/>
  <c r="Q166" i="6"/>
  <c r="Q101" i="6"/>
  <c r="Q114" i="6"/>
  <c r="Q167" i="6"/>
  <c r="Q67" i="6"/>
  <c r="Q39" i="6"/>
  <c r="Q35" i="6"/>
  <c r="Q28" i="6"/>
  <c r="Q80" i="6"/>
  <c r="Q24" i="6"/>
  <c r="Q171" i="6"/>
  <c r="Q46" i="6"/>
  <c r="Q127" i="6"/>
  <c r="Q142" i="6"/>
  <c r="Q162" i="6"/>
  <c r="Q128" i="6"/>
  <c r="Q165" i="6"/>
  <c r="Q148" i="6"/>
  <c r="Q118" i="6"/>
  <c r="Q117" i="6"/>
  <c r="V62" i="6"/>
  <c r="Q65" i="6"/>
  <c r="Q91" i="6"/>
  <c r="Q158" i="6"/>
  <c r="Q144" i="6"/>
  <c r="Q36" i="6"/>
  <c r="Q152" i="6"/>
  <c r="Q100" i="6"/>
  <c r="Q53" i="6"/>
  <c r="Q84" i="6"/>
  <c r="Q120" i="6"/>
  <c r="Q47" i="6"/>
  <c r="Q72" i="6"/>
  <c r="Q37" i="6"/>
  <c r="Q51" i="6"/>
  <c r="Q54" i="6"/>
  <c r="Q133" i="6"/>
  <c r="Q81" i="6"/>
  <c r="Q149" i="6"/>
  <c r="Q124" i="6"/>
  <c r="Q40" i="6"/>
  <c r="Q99" i="6"/>
  <c r="Q17" i="6"/>
  <c r="Q50" i="6"/>
  <c r="Q90" i="6"/>
  <c r="Q83" i="6"/>
  <c r="Q52" i="6"/>
  <c r="Q168" i="6"/>
  <c r="Q150" i="6"/>
  <c r="H4" i="6" l="1"/>
  <c r="P68" i="17"/>
  <c r="V46" i="6"/>
  <c r="V23" i="6"/>
  <c r="V83" i="6"/>
  <c r="V75" i="6"/>
  <c r="V120" i="6"/>
  <c r="V36" i="6"/>
  <c r="V160" i="6"/>
  <c r="V90" i="6"/>
  <c r="V8" i="6"/>
  <c r="V105" i="6"/>
  <c r="V127" i="6"/>
  <c r="V163" i="6"/>
  <c r="V87" i="6"/>
  <c r="V84" i="6"/>
  <c r="V53" i="6"/>
  <c r="V37" i="6"/>
  <c r="V76" i="6"/>
  <c r="V118" i="6"/>
  <c r="V124" i="6"/>
  <c r="V52" i="6"/>
  <c r="V149" i="6"/>
  <c r="V72" i="6"/>
  <c r="V65" i="6"/>
  <c r="V114" i="6"/>
  <c r="V6" i="6"/>
  <c r="V117" i="6"/>
  <c r="V35" i="6"/>
  <c r="V66" i="6"/>
  <c r="V30" i="6"/>
  <c r="V9" i="6"/>
  <c r="V81" i="6"/>
  <c r="V13" i="6"/>
  <c r="V17" i="6"/>
  <c r="V99" i="6"/>
  <c r="V148" i="6"/>
  <c r="V50" i="6"/>
  <c r="V39" i="6"/>
  <c r="V54" i="6"/>
  <c r="V47" i="6"/>
  <c r="V67" i="6"/>
  <c r="V152" i="6"/>
  <c r="V24" i="6"/>
  <c r="V80" i="6"/>
  <c r="V156" i="6"/>
  <c r="V49" i="6"/>
  <c r="V79" i="6"/>
  <c r="V119" i="6"/>
  <c r="V171" i="6"/>
  <c r="V29" i="6"/>
  <c r="V28" i="6"/>
  <c r="V91" i="6"/>
  <c r="V100" i="6"/>
  <c r="V51" i="6"/>
  <c r="V170" i="6"/>
  <c r="V150" i="6"/>
  <c r="V166" i="6"/>
  <c r="V162" i="6"/>
  <c r="V161" i="6"/>
  <c r="V12" i="6"/>
  <c r="V167" i="6"/>
  <c r="V169" i="6"/>
  <c r="Q25" i="6"/>
  <c r="Q64" i="6"/>
  <c r="Q41" i="6"/>
  <c r="Q61" i="6"/>
  <c r="Q44" i="6"/>
  <c r="Q95" i="6"/>
  <c r="V64" i="6" l="1"/>
  <c r="V25" i="6"/>
  <c r="V142" i="6"/>
  <c r="V95" i="6"/>
  <c r="V128" i="6"/>
  <c r="V158" i="6"/>
  <c r="V61" i="6"/>
  <c r="V44" i="6"/>
  <c r="V41" i="6"/>
  <c r="V168" i="6"/>
  <c r="V40" i="6"/>
  <c r="V133" i="6"/>
  <c r="V144" i="6"/>
  <c r="V101" i="6"/>
  <c r="V165" i="6"/>
  <c r="P14" i="13"/>
  <c r="L10" i="6" s="1"/>
  <c r="Q10" i="6" s="1"/>
  <c r="P34" i="13"/>
  <c r="P26" i="13"/>
  <c r="P18" i="13"/>
  <c r="P41" i="13"/>
  <c r="P33" i="13"/>
  <c r="L92" i="6" s="1"/>
  <c r="P25" i="13"/>
  <c r="P17" i="13"/>
  <c r="P40" i="13"/>
  <c r="P32" i="13"/>
  <c r="P24" i="13"/>
  <c r="P16" i="13"/>
  <c r="P23" i="13"/>
  <c r="P15" i="13"/>
  <c r="L20" i="6" s="1"/>
  <c r="S20" i="6" s="1"/>
  <c r="P39" i="13"/>
  <c r="P38" i="13"/>
  <c r="P30" i="13"/>
  <c r="P22" i="13"/>
  <c r="P31" i="13"/>
  <c r="P37" i="13"/>
  <c r="P29" i="13"/>
  <c r="P21" i="13"/>
  <c r="P36" i="13"/>
  <c r="P28" i="13"/>
  <c r="P20" i="13"/>
  <c r="P35" i="13"/>
  <c r="P27" i="13"/>
  <c r="P19" i="13"/>
  <c r="L14" i="6" s="1"/>
  <c r="Q14" i="6" s="1"/>
  <c r="S92" i="6" l="1"/>
  <c r="T92" i="6" s="1"/>
  <c r="Q92" i="6"/>
  <c r="S10" i="6"/>
  <c r="T10" i="6" s="1"/>
  <c r="S14" i="6"/>
  <c r="T14" i="6" s="1"/>
  <c r="Q20" i="6"/>
  <c r="T20" i="6"/>
  <c r="L96" i="6"/>
  <c r="S96" i="6" s="1"/>
  <c r="L31" i="6"/>
  <c r="S31" i="6" s="1"/>
  <c r="L82" i="6"/>
  <c r="S82" i="6" s="1"/>
  <c r="L21" i="6"/>
  <c r="S21" i="6" s="1"/>
  <c r="L71" i="6"/>
  <c r="S71" i="6" s="1"/>
  <c r="L57" i="6"/>
  <c r="S57" i="6" s="1"/>
  <c r="L68" i="6"/>
  <c r="S68" i="6" s="1"/>
  <c r="L85" i="6"/>
  <c r="S85" i="6" s="1"/>
  <c r="L93" i="6"/>
  <c r="S93" i="6" s="1"/>
  <c r="L73" i="6"/>
  <c r="S73" i="6" s="1"/>
  <c r="L18" i="6"/>
  <c r="S18" i="6" s="1"/>
  <c r="L11" i="6"/>
  <c r="L77" i="6"/>
  <c r="S77" i="6" s="1"/>
  <c r="L43" i="6"/>
  <c r="S43" i="6" s="1"/>
  <c r="L58" i="6"/>
  <c r="S58" i="6" s="1"/>
  <c r="L97" i="6"/>
  <c r="S97" i="6" s="1"/>
  <c r="L32" i="6"/>
  <c r="S32" i="6" s="1"/>
  <c r="L16" i="6"/>
  <c r="L86" i="6"/>
  <c r="S86" i="6" s="1"/>
  <c r="L78" i="6"/>
  <c r="S78" i="6" s="1"/>
  <c r="L26" i="6"/>
  <c r="S26" i="6" s="1"/>
  <c r="L56" i="6"/>
  <c r="S56" i="6" s="1"/>
  <c r="L22" i="6"/>
  <c r="S22" i="6" s="1"/>
  <c r="L113" i="6"/>
  <c r="S113" i="6" s="1"/>
  <c r="V19" i="6"/>
  <c r="P12" i="13"/>
  <c r="L34" i="6" s="1"/>
  <c r="R12" i="13"/>
  <c r="V92" i="6" l="1"/>
  <c r="S34" i="6"/>
  <c r="T34" i="6" s="1"/>
  <c r="Q34" i="6"/>
  <c r="M95" i="7"/>
  <c r="M99" i="7"/>
  <c r="S16" i="6"/>
  <c r="T16" i="6" s="1"/>
  <c r="Q16" i="6"/>
  <c r="S11" i="6"/>
  <c r="T11" i="6" s="1"/>
  <c r="Q11" i="6"/>
  <c r="L3" i="6"/>
  <c r="V14" i="6"/>
  <c r="V10" i="6"/>
  <c r="Q21" i="6"/>
  <c r="T21" i="6"/>
  <c r="Q18" i="6"/>
  <c r="T18" i="6"/>
  <c r="Q82" i="6"/>
  <c r="T82" i="6"/>
  <c r="Q73" i="6"/>
  <c r="T73" i="6"/>
  <c r="Q31" i="6"/>
  <c r="T31" i="6"/>
  <c r="Q96" i="6"/>
  <c r="T96" i="6"/>
  <c r="Q86" i="6"/>
  <c r="T86" i="6"/>
  <c r="Q93" i="6"/>
  <c r="T93" i="6"/>
  <c r="Q97" i="6"/>
  <c r="T97" i="6"/>
  <c r="Q85" i="6"/>
  <c r="T85" i="6"/>
  <c r="Q32" i="6"/>
  <c r="T32" i="6"/>
  <c r="Q22" i="6"/>
  <c r="T22" i="6"/>
  <c r="Q56" i="6"/>
  <c r="T56" i="6"/>
  <c r="Q58" i="6"/>
  <c r="T58" i="6"/>
  <c r="Q68" i="6"/>
  <c r="T68" i="6"/>
  <c r="V20" i="6"/>
  <c r="Q113" i="6"/>
  <c r="T113" i="6"/>
  <c r="Q26" i="6"/>
  <c r="T26" i="6"/>
  <c r="Q43" i="6"/>
  <c r="T43" i="6"/>
  <c r="Q57" i="6"/>
  <c r="T57" i="6"/>
  <c r="Q78" i="6"/>
  <c r="T78" i="6"/>
  <c r="Q77" i="6"/>
  <c r="T77" i="6"/>
  <c r="Q71" i="6"/>
  <c r="T71" i="6"/>
  <c r="P43" i="13"/>
  <c r="L2" i="6" s="1"/>
  <c r="V34" i="6" l="1"/>
  <c r="L4" i="6"/>
  <c r="V57" i="6"/>
  <c r="V77" i="6"/>
  <c r="V26" i="6"/>
  <c r="V78" i="6"/>
  <c r="V113" i="6"/>
  <c r="V71" i="6"/>
  <c r="V43" i="6"/>
  <c r="V56" i="6"/>
  <c r="V97" i="6"/>
  <c r="V31" i="6"/>
  <c r="V18" i="6"/>
  <c r="V22" i="6"/>
  <c r="V93" i="6"/>
  <c r="V73" i="6"/>
  <c r="V68" i="6"/>
  <c r="V32" i="6"/>
  <c r="V86" i="6"/>
  <c r="V16" i="6"/>
  <c r="V21" i="6"/>
  <c r="V58" i="6"/>
  <c r="V85" i="6"/>
  <c r="V96" i="6"/>
  <c r="V82" i="6"/>
  <c r="V11" i="6"/>
  <c r="P44" i="13" l="1"/>
</calcChain>
</file>

<file path=xl/sharedStrings.xml><?xml version="1.0" encoding="utf-8"?>
<sst xmlns="http://schemas.openxmlformats.org/spreadsheetml/2006/main" count="2401" uniqueCount="595">
  <si>
    <t>punti</t>
  </si>
  <si>
    <t>coeff prove</t>
  </si>
  <si>
    <t>1,xx</t>
  </si>
  <si>
    <t>xx= nr prove</t>
  </si>
  <si>
    <t xml:space="preserve">coeff nr </t>
  </si>
  <si>
    <t>concorr.</t>
  </si>
  <si>
    <t>coeff  fedeltà</t>
  </si>
  <si>
    <t xml:space="preserve"> </t>
  </si>
  <si>
    <t>coefficienti</t>
  </si>
  <si>
    <t>prove</t>
  </si>
  <si>
    <t>valide</t>
  </si>
  <si>
    <t>PUNTI</t>
  </si>
  <si>
    <t>MAGNONI MAURIZIO</t>
  </si>
  <si>
    <t>BASSANI ENRICO</t>
  </si>
  <si>
    <t>MAZZALUPI SAVERIO</t>
  </si>
  <si>
    <t>MAZZOLENI SERGIO</t>
  </si>
  <si>
    <t>GUAITA DANIELA</t>
  </si>
  <si>
    <t>FALCETTA ENRICO</t>
  </si>
  <si>
    <t>BRAGA GIUSEPPE</t>
  </si>
  <si>
    <t>PRESOLANA</t>
  </si>
  <si>
    <t>TOTALE</t>
  </si>
  <si>
    <t>RAPISARDA GIUSEPPE</t>
  </si>
  <si>
    <t>CRUGNOLA ROBERTO</t>
  </si>
  <si>
    <t>GARILLI DIEGO</t>
  </si>
  <si>
    <t>CRIPPA GIANFRANCO</t>
  </si>
  <si>
    <t>GOBESSI MARCELLO</t>
  </si>
  <si>
    <t>ROGNONI MATTEO</t>
  </si>
  <si>
    <t>CAUSO MAURIZIO</t>
  </si>
  <si>
    <t>PALUMBO ANDREA</t>
  </si>
  <si>
    <t>BOSSI DANIELE</t>
  </si>
  <si>
    <t>SARESINI MAURO</t>
  </si>
  <si>
    <t>ZENESINI LUCIANO</t>
  </si>
  <si>
    <t>xx= conc verificati</t>
  </si>
  <si>
    <t>A</t>
  </si>
  <si>
    <t>B</t>
  </si>
  <si>
    <t>classe</t>
  </si>
  <si>
    <t xml:space="preserve">punti </t>
  </si>
  <si>
    <t>no coeff</t>
  </si>
  <si>
    <t>coeff</t>
  </si>
  <si>
    <t>con coeff</t>
  </si>
  <si>
    <t>MAZZUCCHELLI GIANCARLO</t>
  </si>
  <si>
    <t>ABBIATI GABRIELE</t>
  </si>
  <si>
    <t>check</t>
  </si>
  <si>
    <t xml:space="preserve">REGOLAMENTO </t>
  </si>
  <si>
    <t>Driver</t>
  </si>
  <si>
    <t>Cat</t>
  </si>
  <si>
    <t>Giovane</t>
  </si>
  <si>
    <t xml:space="preserve">Manifestazione </t>
  </si>
  <si>
    <t>Data</t>
  </si>
  <si>
    <t>FICR</t>
  </si>
  <si>
    <t>Nr prove</t>
  </si>
  <si>
    <t>Nr concorrenti</t>
  </si>
  <si>
    <t>Crometristi</t>
  </si>
  <si>
    <t xml:space="preserve">Penalità </t>
  </si>
  <si>
    <t>class.</t>
  </si>
  <si>
    <t>Marca</t>
  </si>
  <si>
    <t>Tipo</t>
  </si>
  <si>
    <t>Anno</t>
  </si>
  <si>
    <t>FASE 3</t>
  </si>
  <si>
    <t>FEDELTA'</t>
  </si>
  <si>
    <t>eventi</t>
  </si>
  <si>
    <t>evento</t>
  </si>
  <si>
    <t>FINALE</t>
  </si>
  <si>
    <t>Femminile</t>
  </si>
  <si>
    <t>2o MEMORIAL NORA SCIPLINO</t>
  </si>
  <si>
    <t>Club Organizzatore</t>
  </si>
  <si>
    <t>VAMS</t>
  </si>
  <si>
    <t>NORA SCIPLINO</t>
  </si>
  <si>
    <t>CAVEM</t>
  </si>
  <si>
    <t>PARADISI ANDREA</t>
  </si>
  <si>
    <t>SCARIONI GABRIELLA</t>
  </si>
  <si>
    <t>X</t>
  </si>
  <si>
    <t>LOZZA MATTEO</t>
  </si>
  <si>
    <t>CRUGNOLA MARIO</t>
  </si>
  <si>
    <t>SENNA MAURIZIO</t>
  </si>
  <si>
    <t>MARCON CHRISTIAN</t>
  </si>
  <si>
    <t>BUTTAFAVA ALDO</t>
  </si>
  <si>
    <t>PEVERELLI DAVIDE</t>
  </si>
  <si>
    <t>COSTADONI MARCELLO</t>
  </si>
  <si>
    <t>MAZZOLDI ANGELO ROBERTO</t>
  </si>
  <si>
    <t>DI NICOLA FRANCO</t>
  </si>
  <si>
    <t>SANGIOVANNI MAURO</t>
  </si>
  <si>
    <t>PRIMI PAOLO</t>
  </si>
  <si>
    <t>CACCIALANZA ELIO</t>
  </si>
  <si>
    <t xml:space="preserve">MOLINA ELENA </t>
  </si>
  <si>
    <t>PASSAROTI PATRIZIA</t>
  </si>
  <si>
    <t>GIRARDIELLO PASQUALE</t>
  </si>
  <si>
    <t>PAVESI MASSIMO</t>
  </si>
  <si>
    <t>CICCONOFRI LUIGI</t>
  </si>
  <si>
    <t>CAIMI PAOLO</t>
  </si>
  <si>
    <t>CARRAMUSA FRANCESCO</t>
  </si>
  <si>
    <t>VILLA DARIO</t>
  </si>
  <si>
    <t>BURACCINI SERGIO</t>
  </si>
  <si>
    <t>CECINI IVANO</t>
  </si>
  <si>
    <t>CURTI GIACOMO</t>
  </si>
  <si>
    <t>Meccanico</t>
  </si>
  <si>
    <t xml:space="preserve">Club </t>
  </si>
  <si>
    <t>MECCANICO</t>
  </si>
  <si>
    <t>OROBICO</t>
  </si>
  <si>
    <t>CASTELLOTTI</t>
  </si>
  <si>
    <t>VALTELLINA</t>
  </si>
  <si>
    <t xml:space="preserve">XXVII Memorial Castellotti </t>
  </si>
  <si>
    <t>Scuderia CASTELLOTTI</t>
  </si>
  <si>
    <t xml:space="preserve">17° Raduno della Solidarietà </t>
  </si>
  <si>
    <t>Club Orobico</t>
  </si>
  <si>
    <t>34a RIEVOCAZIONE GIRO DEL LARIO</t>
  </si>
  <si>
    <t>VCC Como</t>
  </si>
  <si>
    <t>10-11/06/2023</t>
  </si>
  <si>
    <t>24-25/06/2023</t>
  </si>
  <si>
    <t>32a COPPA 3 LAGHI/ CAMPO DEI FIORI</t>
  </si>
  <si>
    <t>21a CRONOSCALATA ERBA - MADONNA DEL GHISALLO</t>
  </si>
  <si>
    <t>VIII TROFEO AMBROSIANO</t>
  </si>
  <si>
    <t>13a RIEVOCAZIONE STORICA COPPA DELLA PRESOLANA</t>
  </si>
  <si>
    <t>25-26/11/2023</t>
  </si>
  <si>
    <t>SOLIDARIETA'</t>
  </si>
  <si>
    <t>GIRO LARIO</t>
  </si>
  <si>
    <t xml:space="preserve"> CAMPO FIORI</t>
  </si>
  <si>
    <t>ERBA GHISALLO</t>
  </si>
  <si>
    <t>AMBROSIANO</t>
  </si>
  <si>
    <t>C</t>
  </si>
  <si>
    <t>provvisoria</t>
  </si>
  <si>
    <t>FIAT</t>
  </si>
  <si>
    <t>124 Spider</t>
  </si>
  <si>
    <t>508 C</t>
  </si>
  <si>
    <t>Autobianchi</t>
  </si>
  <si>
    <t>A112 Abarth</t>
  </si>
  <si>
    <t>Porsche</t>
  </si>
  <si>
    <t>356 SC</t>
  </si>
  <si>
    <t>Triumph</t>
  </si>
  <si>
    <t>TR3</t>
  </si>
  <si>
    <t>124 Coupè</t>
  </si>
  <si>
    <t>Innocenti</t>
  </si>
  <si>
    <t>Mini Cooper</t>
  </si>
  <si>
    <t>TR4</t>
  </si>
  <si>
    <t>Lancia</t>
  </si>
  <si>
    <t>Aprilia</t>
  </si>
  <si>
    <t>Alfa Romeo</t>
  </si>
  <si>
    <t>2000 GTV</t>
  </si>
  <si>
    <t>Fulvia HF</t>
  </si>
  <si>
    <t>Volkswagen</t>
  </si>
  <si>
    <t>Golf GTI</t>
  </si>
  <si>
    <t>Appia</t>
  </si>
  <si>
    <t>850 Spider</t>
  </si>
  <si>
    <t>Fulvia Montecarlo</t>
  </si>
  <si>
    <t>MG</t>
  </si>
  <si>
    <t>B GT</t>
  </si>
  <si>
    <t>Junior Zagato</t>
  </si>
  <si>
    <t>Abarth</t>
  </si>
  <si>
    <t>750 GT</t>
  </si>
  <si>
    <t>A111</t>
  </si>
  <si>
    <t>1100 R</t>
  </si>
  <si>
    <t>BMW</t>
  </si>
  <si>
    <t>320/6</t>
  </si>
  <si>
    <t>127</t>
  </si>
  <si>
    <t>Fulvia</t>
  </si>
  <si>
    <t>Delta Evo2</t>
  </si>
  <si>
    <t>TD</t>
  </si>
  <si>
    <t>Toyota</t>
  </si>
  <si>
    <t>Celica</t>
  </si>
  <si>
    <t>FVVC</t>
  </si>
  <si>
    <t>TR3A</t>
  </si>
  <si>
    <t>1100 E</t>
  </si>
  <si>
    <t>Delta Evo1</t>
  </si>
  <si>
    <t>Mercedes</t>
  </si>
  <si>
    <t>356C</t>
  </si>
  <si>
    <t>Ritmo Cabrio</t>
  </si>
  <si>
    <t>500</t>
  </si>
  <si>
    <t>Spider</t>
  </si>
  <si>
    <t>SL 550</t>
  </si>
  <si>
    <t>MEDIA</t>
  </si>
  <si>
    <t>AMAMS</t>
  </si>
  <si>
    <t>CLASSIC CLUB ITALIA</t>
  </si>
  <si>
    <t>CMAE</t>
  </si>
  <si>
    <t>MAMS</t>
  </si>
  <si>
    <t>OMCB</t>
  </si>
  <si>
    <t>VCC COMO</t>
  </si>
  <si>
    <t>Mantova</t>
  </si>
  <si>
    <t>Lodi</t>
  </si>
  <si>
    <t>Milano</t>
  </si>
  <si>
    <t>Bergamo</t>
  </si>
  <si>
    <t>Monza</t>
  </si>
  <si>
    <t>Sondrio</t>
  </si>
  <si>
    <t>Varese</t>
  </si>
  <si>
    <t>Como</t>
  </si>
  <si>
    <t>club</t>
  </si>
  <si>
    <t>Primi 5 di squadra</t>
  </si>
  <si>
    <t xml:space="preserve">CLASSIFICA CLUB </t>
  </si>
  <si>
    <t>CLASSIFICA DRIVER</t>
  </si>
  <si>
    <t>DI LEO ENZO</t>
  </si>
  <si>
    <t>SERRI FABRIZIO</t>
  </si>
  <si>
    <t>PARADISI ROBERTO</t>
  </si>
  <si>
    <t>MOZZI ROBERTO</t>
  </si>
  <si>
    <t>BONANNO ALESSANDRO</t>
  </si>
  <si>
    <t>CORRU' EDOARDO</t>
  </si>
  <si>
    <t>BONFANTI MAURIZIO</t>
  </si>
  <si>
    <t>SOFFIENTINI FELICE</t>
  </si>
  <si>
    <t>MAGNANI GIANCARLO</t>
  </si>
  <si>
    <t>TAMIAZZO MORGAN</t>
  </si>
  <si>
    <t>ATTARDO LUCIANO</t>
  </si>
  <si>
    <t>BASSI GIOVANNI</t>
  </si>
  <si>
    <t>BARBIERI GIACOMO</t>
  </si>
  <si>
    <t xml:space="preserve">MONTEVERDI ALEX MARIA </t>
  </si>
  <si>
    <t>ERCOLI PIERANTONIO</t>
  </si>
  <si>
    <t>ROSSETTI GIANCARLO</t>
  </si>
  <si>
    <t>MILANI ROBERTO</t>
  </si>
  <si>
    <t>FERRARI FELICE</t>
  </si>
  <si>
    <t>MAGNANI SERGIO</t>
  </si>
  <si>
    <t>BELTRAMI MARIO</t>
  </si>
  <si>
    <t>FACCHINI ALFONSO</t>
  </si>
  <si>
    <t>VINCENZI PAOLO</t>
  </si>
  <si>
    <t>Pavia</t>
  </si>
  <si>
    <t>DE BELLIS FILIPPO</t>
  </si>
  <si>
    <t>FERRARI LUCA</t>
  </si>
  <si>
    <t>MEREU CLAUDIO</t>
  </si>
  <si>
    <t>DONZELLI GIULIO</t>
  </si>
  <si>
    <t>BARZETTI ALESSANDRO</t>
  </si>
  <si>
    <t>GALLIZIA PIO</t>
  </si>
  <si>
    <t>BOSSI GIORGIO</t>
  </si>
  <si>
    <t>ROSSONI ROBERTO</t>
  </si>
  <si>
    <t>FUMAGALLI NICOLA</t>
  </si>
  <si>
    <t>PISATI EMANUELE</t>
  </si>
  <si>
    <t>GUENZI PIER</t>
  </si>
  <si>
    <t>BONFANTE  MAURO</t>
  </si>
  <si>
    <t>MARELLI MAURO</t>
  </si>
  <si>
    <t>BARNI LUCA</t>
  </si>
  <si>
    <t>PIGNATTA RUGGERO</t>
  </si>
  <si>
    <t>PORTOGHESE CLAUDIO</t>
  </si>
  <si>
    <t>ZUCCHETTO DENIS</t>
  </si>
  <si>
    <t>MINOIA ALESSANDRO</t>
  </si>
  <si>
    <t>GIULIETTA SPIDER</t>
  </si>
  <si>
    <t>ALFA ROMEO</t>
  </si>
  <si>
    <t>AUSTIN HEALEY</t>
  </si>
  <si>
    <t>LANCIA</t>
  </si>
  <si>
    <t>BUGATTI</t>
  </si>
  <si>
    <t>AUTOBIANCHI</t>
  </si>
  <si>
    <t>PORSCHE</t>
  </si>
  <si>
    <t>TRIUMPH</t>
  </si>
  <si>
    <t>AUDI</t>
  </si>
  <si>
    <t>LOTUS</t>
  </si>
  <si>
    <t>TOYOTA</t>
  </si>
  <si>
    <t xml:space="preserve">MG </t>
  </si>
  <si>
    <t>JAGUAR</t>
  </si>
  <si>
    <t>INNOCENTI</t>
  </si>
  <si>
    <t>PEUGEOT</t>
  </si>
  <si>
    <t>OSCA</t>
  </si>
  <si>
    <t>MINI</t>
  </si>
  <si>
    <t>GIULIA 1600 SPIDER</t>
  </si>
  <si>
    <t>LAMBDA VII SERIE</t>
  </si>
  <si>
    <t>T40 GRAND SPORT</t>
  </si>
  <si>
    <t>850 SPORT COUPE'</t>
  </si>
  <si>
    <t>124 SPIDER</t>
  </si>
  <si>
    <t>A112 ABARTH 70HP</t>
  </si>
  <si>
    <t>FULVIA COUPE' RALLYE 1.3S</t>
  </si>
  <si>
    <t>124 SPORT COUPE'</t>
  </si>
  <si>
    <t>A ROADSTER</t>
  </si>
  <si>
    <t>B GT SEBRING</t>
  </si>
  <si>
    <t>SPITFIRE MK3</t>
  </si>
  <si>
    <t>356</t>
  </si>
  <si>
    <t>100/4</t>
  </si>
  <si>
    <t>80 CABRIO 1.8</t>
  </si>
  <si>
    <t>924</t>
  </si>
  <si>
    <t>SUPER SEVEN COSWORTH</t>
  </si>
  <si>
    <t>600D</t>
  </si>
  <si>
    <t>993 CARRERA 4 CAB.</t>
  </si>
  <si>
    <t>CELICA GT FOUR</t>
  </si>
  <si>
    <t xml:space="preserve"> CELICA CARLOS SAINZ</t>
  </si>
  <si>
    <t>508 BALILLA</t>
  </si>
  <si>
    <t>CINQUECENTO ED</t>
  </si>
  <si>
    <t>911 2.4 S</t>
  </si>
  <si>
    <t>E TYPE ROADSTER</t>
  </si>
  <si>
    <t>DELTA</t>
  </si>
  <si>
    <t>DELTA INTEGRALE 2000 16V</t>
  </si>
  <si>
    <t>328</t>
  </si>
  <si>
    <t>1100/103</t>
  </si>
  <si>
    <t>TA</t>
  </si>
  <si>
    <t>124 SPIDER 1.6</t>
  </si>
  <si>
    <t>MINI COOPER 1300</t>
  </si>
  <si>
    <t>911-996 CARRERA 4 CAB</t>
  </si>
  <si>
    <t>205 OPEN</t>
  </si>
  <si>
    <t>128 BERLINA 1100 4 PORTE</t>
  </si>
  <si>
    <t>205 RALLYE</t>
  </si>
  <si>
    <t>ARDEA</t>
  </si>
  <si>
    <t>FULVIA COUPE'</t>
  </si>
  <si>
    <t>X1/9</t>
  </si>
  <si>
    <t>GIULIETTA 1.6</t>
  </si>
  <si>
    <t xml:space="preserve"> DUETTO</t>
  </si>
  <si>
    <t>DELTA 1500</t>
  </si>
  <si>
    <t>A112 ABARTH</t>
  </si>
  <si>
    <t>DELTA INTEGRALE EV02</t>
  </si>
  <si>
    <t>FULVIA COUPE' 1.6 HF</t>
  </si>
  <si>
    <t>1600 GT2 FISSORE</t>
  </si>
  <si>
    <t>356 C</t>
  </si>
  <si>
    <t>A112</t>
  </si>
  <si>
    <t xml:space="preserve"> Z3</t>
  </si>
  <si>
    <t>COOPER 1.3</t>
  </si>
  <si>
    <t>F VVC</t>
  </si>
  <si>
    <t>Classifica senza Power Stage</t>
  </si>
  <si>
    <t>giovani</t>
  </si>
  <si>
    <t>Crono Car Service</t>
  </si>
  <si>
    <t xml:space="preserve">DEL BO ROBERTO </t>
  </si>
  <si>
    <t>Ferrari</t>
  </si>
  <si>
    <t>208 GTS</t>
  </si>
  <si>
    <t>BACCI SERGIO</t>
  </si>
  <si>
    <t>BELOTTI ANTONIO</t>
  </si>
  <si>
    <t>BERTAZZA MARINO</t>
  </si>
  <si>
    <t>BERTOLLI MARCO</t>
  </si>
  <si>
    <t>COVELLI GIANPIERO</t>
  </si>
  <si>
    <t>MORETTI DARIO</t>
  </si>
  <si>
    <t>MORETTI UBERTA</t>
  </si>
  <si>
    <t>NARDIELLO GERARDO</t>
  </si>
  <si>
    <t>RAVASIO MANUEL</t>
  </si>
  <si>
    <t>RONZONI ANDREA</t>
  </si>
  <si>
    <t>RONZONI MARIO</t>
  </si>
  <si>
    <t>SCAPPINI ENRICO</t>
  </si>
  <si>
    <t>UTTUSO VINCENZO</t>
  </si>
  <si>
    <t>CUCINIELLO ALFREDO</t>
  </si>
  <si>
    <t>911 T</t>
  </si>
  <si>
    <t xml:space="preserve">A112 </t>
  </si>
  <si>
    <t>FULVIA HF</t>
  </si>
  <si>
    <t>TR2</t>
  </si>
  <si>
    <t>280 SE</t>
  </si>
  <si>
    <t>GT 2000 VELOCE</t>
  </si>
  <si>
    <t>FULVIA COUPE' 1.3</t>
  </si>
  <si>
    <t>BARCHETTA</t>
  </si>
  <si>
    <t>FULVIA RALLYE 1,35</t>
  </si>
  <si>
    <t>COOPER S MKII</t>
  </si>
  <si>
    <t>MINI 1001</t>
  </si>
  <si>
    <t>131 S Mirafiori</t>
  </si>
  <si>
    <t>1100 103</t>
  </si>
  <si>
    <t>Y 10</t>
  </si>
  <si>
    <t>PRIMULA</t>
  </si>
  <si>
    <t>HEALEY SPRITE MKI</t>
  </si>
  <si>
    <t>Z 3</t>
  </si>
  <si>
    <t>1100/103 TV</t>
  </si>
  <si>
    <t>T40 GS</t>
  </si>
  <si>
    <t xml:space="preserve">TRIUMPH </t>
  </si>
  <si>
    <t>MERCEDES BENZ</t>
  </si>
  <si>
    <t xml:space="preserve">ALFA ROMEO </t>
  </si>
  <si>
    <t xml:space="preserve">LANCIA </t>
  </si>
  <si>
    <t xml:space="preserve">MORRIS </t>
  </si>
  <si>
    <t xml:space="preserve">AUTOBIANCHI </t>
  </si>
  <si>
    <t>MINI COOPER</t>
  </si>
  <si>
    <t>Media NORA</t>
  </si>
  <si>
    <t>Media CAST</t>
  </si>
  <si>
    <t>Media SOLID</t>
  </si>
  <si>
    <t>FiCR</t>
  </si>
  <si>
    <t>MINUSSI CORRADO</t>
  </si>
  <si>
    <t>SONVICO FRANCESCO</t>
  </si>
  <si>
    <t>CAMPIONI ROBERTO</t>
  </si>
  <si>
    <t>CASSANI TOMMASO</t>
  </si>
  <si>
    <t>BISCATTI LUCIA</t>
  </si>
  <si>
    <t>MICHI MAURIZIO</t>
  </si>
  <si>
    <t>RESNATI CARLO</t>
  </si>
  <si>
    <t>ARNABOLDI GABRIELE</t>
  </si>
  <si>
    <t>CAPPELLETTI GIACOMO</t>
  </si>
  <si>
    <t>FOSSATI MARCO</t>
  </si>
  <si>
    <t>XK8</t>
  </si>
  <si>
    <t>1600 GT2</t>
  </si>
  <si>
    <t>500 L</t>
  </si>
  <si>
    <t>Fulvia Coupè</t>
  </si>
  <si>
    <t>DELTA EVO2</t>
  </si>
  <si>
    <t>Giulia Spider 1.6</t>
  </si>
  <si>
    <t>Z3</t>
  </si>
  <si>
    <t>110 F</t>
  </si>
  <si>
    <t>TR 4</t>
  </si>
  <si>
    <t xml:space="preserve">PORSCHE </t>
  </si>
  <si>
    <t>Boxster 2.7</t>
  </si>
  <si>
    <t>APPIA 3a serie</t>
  </si>
  <si>
    <t xml:space="preserve">TR 2 </t>
  </si>
  <si>
    <t>205 Open</t>
  </si>
  <si>
    <t>1750 Spider</t>
  </si>
  <si>
    <t>127 L</t>
  </si>
  <si>
    <t>Y10</t>
  </si>
  <si>
    <t>GT Junior 1300</t>
  </si>
  <si>
    <t>GALLARATE</t>
  </si>
  <si>
    <t>13a STORICHE IN GALLARATE</t>
  </si>
  <si>
    <t>GAMS</t>
  </si>
  <si>
    <t>ANDREUCCI M.TERESA</t>
  </si>
  <si>
    <t>ANZANI ELISABETTA</t>
  </si>
  <si>
    <t>AZIMONTI MICHELE</t>
  </si>
  <si>
    <t>BERETTA PAOLO</t>
  </si>
  <si>
    <t>BIANCHI RENATO</t>
  </si>
  <si>
    <t>BINETTI MARCO</t>
  </si>
  <si>
    <t>BONECCHI MARCO</t>
  </si>
  <si>
    <t>CALVI GIGI</t>
  </si>
  <si>
    <t>DUFFI ALBERTO</t>
  </si>
  <si>
    <t>FERRARI CLAUDIO</t>
  </si>
  <si>
    <t>FERRARO ARTURO</t>
  </si>
  <si>
    <t>FERRO ROMEO</t>
  </si>
  <si>
    <t>FLENGHI GIANFRANCO</t>
  </si>
  <si>
    <t>GALLO RENATO</t>
  </si>
  <si>
    <t>GRASSI LUCA</t>
  </si>
  <si>
    <t>LACOVARA FRANCESCO</t>
  </si>
  <si>
    <t>MERLO SERGIO</t>
  </si>
  <si>
    <t>PESSINA DIEGO</t>
  </si>
  <si>
    <t>PIAZZA GIOVANNI</t>
  </si>
  <si>
    <t>PISTOLESI LIONELLO</t>
  </si>
  <si>
    <t>RIGHI ROBERTO</t>
  </si>
  <si>
    <t>SALVIATO EZIO</t>
  </si>
  <si>
    <t>SASSI GIUSEPPE</t>
  </si>
  <si>
    <t>SOMMA ENRICO</t>
  </si>
  <si>
    <t>SURBONE LAURA</t>
  </si>
  <si>
    <t>TIOLI LUCA</t>
  </si>
  <si>
    <t>TROMBETTA ENRICO</t>
  </si>
  <si>
    <t>TUFFANELLI FULVIO</t>
  </si>
  <si>
    <t>VANELLI FRANCESCO</t>
  </si>
  <si>
    <t>VANELLI MARCO</t>
  </si>
  <si>
    <t>500L</t>
  </si>
  <si>
    <t>SPIDER 916</t>
  </si>
  <si>
    <t>M SPORT</t>
  </si>
  <si>
    <t>3000</t>
  </si>
  <si>
    <t>VW</t>
  </si>
  <si>
    <t>MAGGIOLINO</t>
  </si>
  <si>
    <t>BETA MONTECARLO</t>
  </si>
  <si>
    <t>GT2000 VELOCE</t>
  </si>
  <si>
    <t>FULVIA 1.3</t>
  </si>
  <si>
    <t>DELTA INTEGRALE</t>
  </si>
  <si>
    <t>Flaminia GT</t>
  </si>
  <si>
    <t>Fulvia HF 16</t>
  </si>
  <si>
    <t>Delta 16 GT</t>
  </si>
  <si>
    <t>Spitfire</t>
  </si>
  <si>
    <t>2000 Spider</t>
  </si>
  <si>
    <t>Brooklands</t>
  </si>
  <si>
    <t>Appia 2 serie</t>
  </si>
  <si>
    <t>1100  103</t>
  </si>
  <si>
    <t>131 Abarth</t>
  </si>
  <si>
    <t>S4 Avant</t>
  </si>
  <si>
    <t>Appia 3 serie</t>
  </si>
  <si>
    <t>Maggiolino</t>
  </si>
  <si>
    <t>80 Cabrio</t>
  </si>
  <si>
    <t>Y</t>
  </si>
  <si>
    <t>Fulvia 16 HF</t>
  </si>
  <si>
    <t xml:space="preserve">Fulvia </t>
  </si>
  <si>
    <t>S</t>
  </si>
  <si>
    <t>Giulia Super</t>
  </si>
  <si>
    <t>Barchetta</t>
  </si>
  <si>
    <t>850 spider</t>
  </si>
  <si>
    <t>Flaminia Coupè</t>
  </si>
  <si>
    <t>1100 Special</t>
  </si>
  <si>
    <t>Opel</t>
  </si>
  <si>
    <t>Kadett</t>
  </si>
  <si>
    <t>spitfire</t>
  </si>
  <si>
    <t>Coupè</t>
  </si>
  <si>
    <t>RILEY</t>
  </si>
  <si>
    <t>600</t>
  </si>
  <si>
    <t>GALLAZZI GIANMARIO</t>
  </si>
  <si>
    <t>DESERO' DANIELA</t>
  </si>
  <si>
    <t xml:space="preserve"> REGOLAMENTO</t>
  </si>
  <si>
    <t>CONTINI FABIO</t>
  </si>
  <si>
    <t>LOZZA MAURO</t>
  </si>
  <si>
    <t>MACCACCARO ANDREA</t>
  </si>
  <si>
    <t>BEVILACQUA DARIO</t>
  </si>
  <si>
    <t>GAMBA PAOLO</t>
  </si>
  <si>
    <t>BISAZZA GIUSEPPE</t>
  </si>
  <si>
    <t>DE BELLIS MAURIZIO</t>
  </si>
  <si>
    <t>ZAMBELLINI SERGIO</t>
  </si>
  <si>
    <t>COBIANCHI MARCO</t>
  </si>
  <si>
    <t>GENONI CARLO</t>
  </si>
  <si>
    <t>BOTTIGELLI DANIELE</t>
  </si>
  <si>
    <t>UBOLDI GIORGIO</t>
  </si>
  <si>
    <t>TAVERNA JACOPO</t>
  </si>
  <si>
    <t>APRILIA</t>
  </si>
  <si>
    <t>FLAVIA COUPE'</t>
  </si>
  <si>
    <t>TR3/A</t>
  </si>
  <si>
    <t>356A</t>
  </si>
  <si>
    <t>T40</t>
  </si>
  <si>
    <t>3000 MK3</t>
  </si>
  <si>
    <t>GIULIA SPIDER</t>
  </si>
  <si>
    <t>APPIA III</t>
  </si>
  <si>
    <t>SPRITE M</t>
  </si>
  <si>
    <t>3000 BN7</t>
  </si>
  <si>
    <t>VW PORSCHE</t>
  </si>
  <si>
    <t>TYPE</t>
  </si>
  <si>
    <t>TR3 B</t>
  </si>
  <si>
    <t xml:space="preserve">VW  </t>
  </si>
  <si>
    <t xml:space="preserve">A </t>
  </si>
  <si>
    <t>MKIII</t>
  </si>
  <si>
    <t>912</t>
  </si>
  <si>
    <t>ARDEA II SERIE</t>
  </si>
  <si>
    <t>TR3 SPORT</t>
  </si>
  <si>
    <t>H-BT7</t>
  </si>
  <si>
    <t>C TYPE</t>
  </si>
  <si>
    <t>ALFETTA 1.8</t>
  </si>
  <si>
    <t>Club</t>
  </si>
  <si>
    <t>MARIANI GIACINTO</t>
  </si>
  <si>
    <t>BERTOLLI DAVIDE</t>
  </si>
  <si>
    <t>VALBONESI  FRANCO</t>
  </si>
  <si>
    <t>ZUMELLI NAUSICA</t>
  </si>
  <si>
    <t>CEFFOLI TOMMASO</t>
  </si>
  <si>
    <t>POZZI ANTONIO</t>
  </si>
  <si>
    <t>COCCHIGLIA LUCA</t>
  </si>
  <si>
    <t>FIGINI YURI</t>
  </si>
  <si>
    <t>MARZULLO VINCENZO</t>
  </si>
  <si>
    <t>PARRAVICINI CRISTIAN</t>
  </si>
  <si>
    <t>ZANASSI GABRIELE</t>
  </si>
  <si>
    <t>MICELI GANDOLFO</t>
  </si>
  <si>
    <t>GUERRIERI RICCARDO</t>
  </si>
  <si>
    <t>MANZAN CARLO</t>
  </si>
  <si>
    <t>EL ASSAWY NADIA</t>
  </si>
  <si>
    <t>RUSCONI MAURIZIO</t>
  </si>
  <si>
    <t>TAGLIABUE GIORGIO</t>
  </si>
  <si>
    <t>OSSOLA MARIO</t>
  </si>
  <si>
    <t>GEMELLI ANDREA</t>
  </si>
  <si>
    <t>T40 Grand Sport</t>
  </si>
  <si>
    <t>ARDEA II serie</t>
  </si>
  <si>
    <t>356 Speedster</t>
  </si>
  <si>
    <t>TR 3A</t>
  </si>
  <si>
    <t>GIULIETTA</t>
  </si>
  <si>
    <t>APPIA 3</t>
  </si>
  <si>
    <t>AUSTIN Healey</t>
  </si>
  <si>
    <t>3000-100/6</t>
  </si>
  <si>
    <t>VOLKSWAGEN</t>
  </si>
  <si>
    <t>ABARTH</t>
  </si>
  <si>
    <t>OT 1000 Coupè</t>
  </si>
  <si>
    <t>600 D</t>
  </si>
  <si>
    <t>B Roadster</t>
  </si>
  <si>
    <t>2002 Tii</t>
  </si>
  <si>
    <t>Mini Cooper 1300</t>
  </si>
  <si>
    <t>Spider Junior</t>
  </si>
  <si>
    <t>127 SPECIAL</t>
  </si>
  <si>
    <t>B Spider</t>
  </si>
  <si>
    <t>LAND ROVER</t>
  </si>
  <si>
    <t>88 III serie</t>
  </si>
  <si>
    <t>DELTA GT</t>
  </si>
  <si>
    <t>205 Rallye</t>
  </si>
  <si>
    <t>205</t>
  </si>
  <si>
    <t>ROVER</t>
  </si>
  <si>
    <t>CELICA GT</t>
  </si>
  <si>
    <t>2000 COUPE'</t>
  </si>
  <si>
    <t>ROLLS ROYCE</t>
  </si>
  <si>
    <t>Silver Cloud I</t>
  </si>
  <si>
    <t>BOXTER 986</t>
  </si>
  <si>
    <t>BOXTER S</t>
  </si>
  <si>
    <t>BOXTER 2.7</t>
  </si>
  <si>
    <t>Z3 Roadster</t>
  </si>
  <si>
    <t>MERCEDES</t>
  </si>
  <si>
    <t>SLK</t>
  </si>
  <si>
    <t>318 COUPE'</t>
  </si>
  <si>
    <t>GOLF Cabrio</t>
  </si>
  <si>
    <t>FICr</t>
  </si>
  <si>
    <t>Media LARIO</t>
  </si>
  <si>
    <t>Media CAMPO</t>
  </si>
  <si>
    <t>Media ERBA</t>
  </si>
  <si>
    <t>ND</t>
  </si>
  <si>
    <t>Renault</t>
  </si>
  <si>
    <t>5 Alpine</t>
  </si>
  <si>
    <t>Fiat</t>
  </si>
  <si>
    <t>Austin Healey</t>
  </si>
  <si>
    <t>Riley</t>
  </si>
  <si>
    <t>Merceds</t>
  </si>
  <si>
    <t>Delta 4WD</t>
  </si>
  <si>
    <t>TR3 A Sport</t>
  </si>
  <si>
    <t>Cabriolet 2.0</t>
  </si>
  <si>
    <t>ASPESI RICCARDO</t>
  </si>
  <si>
    <t>CERIANI TIZIANO</t>
  </si>
  <si>
    <t>COSTANTE GIONATA</t>
  </si>
  <si>
    <t>PAGLINI GIORGIO</t>
  </si>
  <si>
    <t>850 COUPE'</t>
  </si>
  <si>
    <t>FULVIA ZAGATO</t>
  </si>
  <si>
    <t>Giulietta 1.6</t>
  </si>
  <si>
    <t>Spitfire MK3</t>
  </si>
  <si>
    <t>LK III 3000</t>
  </si>
  <si>
    <t>Z3 ROADSTER</t>
  </si>
  <si>
    <t>XK120</t>
  </si>
  <si>
    <t>GARDIELLO PASQUALE</t>
  </si>
  <si>
    <t>MECC.</t>
  </si>
  <si>
    <t>BORACCO ROBERTO</t>
  </si>
  <si>
    <t>CRISTINA RICCARDO</t>
  </si>
  <si>
    <t>DE BERNARDI CARLO</t>
  </si>
  <si>
    <t>FLIRI ARRIGO</t>
  </si>
  <si>
    <t>MALAGUTI FEDERICO</t>
  </si>
  <si>
    <t>RONZONI EZIO</t>
  </si>
  <si>
    <t>MORA LUCA</t>
  </si>
  <si>
    <t>CORNA ENNIO</t>
  </si>
  <si>
    <t>VAERINI MARIO</t>
  </si>
  <si>
    <t>MOROSINI FRANCESCO</t>
  </si>
  <si>
    <t>TOMASONI ROBERTO</t>
  </si>
  <si>
    <t xml:space="preserve">VOLKSWAGEN </t>
  </si>
  <si>
    <t>ETZC CCCWI</t>
  </si>
  <si>
    <t>131 MIRAFIORI</t>
  </si>
  <si>
    <t>1100/103TV</t>
  </si>
  <si>
    <t>FULVIA COUPE' 1,3 S</t>
  </si>
  <si>
    <t xml:space="preserve">MAGGIOLINO </t>
  </si>
  <si>
    <t xml:space="preserve"> DELTA 1.6 GT</t>
  </si>
  <si>
    <t>T 40 GRAND SPORT</t>
  </si>
  <si>
    <t>ABARTH OT1000 COUPE'</t>
  </si>
  <si>
    <t>2002 TII</t>
  </si>
  <si>
    <t>FULVIA MONTECARLO</t>
  </si>
  <si>
    <t>PORSCHE 914</t>
  </si>
  <si>
    <t>A 112 ABARTH</t>
  </si>
  <si>
    <t>SPIDER 124 SPORT</t>
  </si>
  <si>
    <t>DELTA EVO 2</t>
  </si>
  <si>
    <t>CELICA GT4</t>
  </si>
  <si>
    <t>SPIDER 1600 YUNIOR</t>
  </si>
  <si>
    <t>1o ex aequo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</si>
</sst>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-* #,##0_-;\-* #,##0_-;_-* &quot;-&quot;??_-;_-@_-"/>
    <numFmt numFmtId="166" formatCode="_-* #,##0\ _€_-;\-* #,##0\ _€_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2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rgb="FF288831"/>
      <name val="Calibri"/>
      <family val="2"/>
      <scheme val="minor"/>
    </font>
    <font>
      <sz val="11"/>
      <color rgb="FFF06EE1"/>
      <name val="Calibri"/>
      <family val="2"/>
      <scheme val="minor"/>
    </font>
    <font>
      <b/>
      <sz val="11"/>
      <color rgb="FFF06EE1"/>
      <name val="Calibri"/>
      <family val="2"/>
      <scheme val="minor"/>
    </font>
    <font>
      <b/>
      <sz val="11"/>
      <color rgb="FF28883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06EE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5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43" fontId="0" fillId="0" borderId="0" xfId="1" applyFont="1"/>
    <xf numFmtId="0" fontId="0" fillId="0" borderId="0" xfId="0" applyAlignment="1">
      <alignment vertical="center"/>
    </xf>
    <xf numFmtId="43" fontId="2" fillId="0" borderId="0" xfId="1" applyFont="1"/>
    <xf numFmtId="43" fontId="2" fillId="0" borderId="0" xfId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43" fontId="0" fillId="0" borderId="0" xfId="0" applyNumberFormat="1"/>
    <xf numFmtId="14" fontId="0" fillId="0" borderId="0" xfId="0" applyNumberFormat="1"/>
    <xf numFmtId="43" fontId="0" fillId="0" borderId="0" xfId="1" applyFont="1" applyAlignment="1">
      <alignment horizontal="center"/>
    </xf>
    <xf numFmtId="43" fontId="0" fillId="0" borderId="0" xfId="1" applyFont="1" applyAlignment="1"/>
    <xf numFmtId="43" fontId="0" fillId="0" borderId="0" xfId="1" applyFont="1" applyAlignment="1">
      <alignment vertical="center"/>
    </xf>
    <xf numFmtId="43" fontId="2" fillId="0" borderId="0" xfId="1" applyFont="1" applyFill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/>
    <xf numFmtId="43" fontId="2" fillId="0" borderId="11" xfId="1" applyFont="1" applyBorder="1"/>
    <xf numFmtId="43" fontId="2" fillId="0" borderId="0" xfId="1" applyFont="1" applyBorder="1"/>
    <xf numFmtId="0" fontId="2" fillId="0" borderId="1" xfId="0" applyFont="1" applyBorder="1"/>
    <xf numFmtId="0" fontId="2" fillId="0" borderId="12" xfId="0" applyFont="1" applyBorder="1"/>
    <xf numFmtId="0" fontId="2" fillId="0" borderId="13" xfId="0" applyFont="1" applyBorder="1"/>
    <xf numFmtId="0" fontId="0" fillId="0" borderId="2" xfId="0" applyBorder="1"/>
    <xf numFmtId="43" fontId="2" fillId="0" borderId="4" xfId="1" applyFont="1" applyBorder="1"/>
    <xf numFmtId="0" fontId="2" fillId="0" borderId="6" xfId="0" applyFont="1" applyBorder="1"/>
    <xf numFmtId="43" fontId="2" fillId="0" borderId="8" xfId="1" applyFont="1" applyBorder="1"/>
    <xf numFmtId="0" fontId="2" fillId="0" borderId="9" xfId="0" applyFont="1" applyBorder="1"/>
    <xf numFmtId="14" fontId="0" fillId="0" borderId="0" xfId="0" applyNumberFormat="1" applyAlignment="1">
      <alignment horizontal="center"/>
    </xf>
    <xf numFmtId="0" fontId="2" fillId="0" borderId="2" xfId="0" applyFont="1" applyBorder="1"/>
    <xf numFmtId="0" fontId="2" fillId="6" borderId="7" xfId="0" applyFont="1" applyFill="1" applyBorder="1" applyAlignment="1">
      <alignment horizontal="center"/>
    </xf>
    <xf numFmtId="43" fontId="2" fillId="3" borderId="9" xfId="1" applyFont="1" applyFill="1" applyBorder="1" applyAlignment="1">
      <alignment horizontal="center"/>
    </xf>
    <xf numFmtId="43" fontId="2" fillId="6" borderId="10" xfId="0" applyNumberFormat="1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43" fontId="2" fillId="5" borderId="13" xfId="0" applyNumberFormat="1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43" fontId="2" fillId="8" borderId="13" xfId="0" applyNumberFormat="1" applyFont="1" applyFill="1" applyBorder="1" applyAlignment="1">
      <alignment horizontal="center"/>
    </xf>
    <xf numFmtId="43" fontId="2" fillId="7" borderId="13" xfId="0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43" fontId="0" fillId="0" borderId="12" xfId="1" applyFont="1" applyBorder="1"/>
    <xf numFmtId="43" fontId="0" fillId="0" borderId="14" xfId="1" applyFont="1" applyBorder="1"/>
    <xf numFmtId="43" fontId="0" fillId="0" borderId="13" xfId="1" applyFont="1" applyBorder="1"/>
    <xf numFmtId="0" fontId="0" fillId="0" borderId="13" xfId="0" applyBorder="1"/>
    <xf numFmtId="43" fontId="2" fillId="9" borderId="12" xfId="1" applyFont="1" applyFill="1" applyBorder="1" applyAlignment="1">
      <alignment horizontal="center"/>
    </xf>
    <xf numFmtId="43" fontId="2" fillId="9" borderId="13" xfId="1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43" fontId="0" fillId="4" borderId="11" xfId="1" applyFont="1" applyFill="1" applyBorder="1" applyAlignment="1">
      <alignment horizontal="center"/>
    </xf>
    <xf numFmtId="0" fontId="0" fillId="0" borderId="6" xfId="0" applyBorder="1"/>
    <xf numFmtId="43" fontId="0" fillId="0" borderId="8" xfId="1" applyFont="1" applyBorder="1"/>
    <xf numFmtId="0" fontId="0" fillId="0" borderId="5" xfId="0" applyBorder="1"/>
    <xf numFmtId="43" fontId="0" fillId="0" borderId="15" xfId="1" applyFont="1" applyBorder="1"/>
    <xf numFmtId="43" fontId="0" fillId="0" borderId="11" xfId="1" applyFont="1" applyBorder="1"/>
    <xf numFmtId="43" fontId="2" fillId="0" borderId="12" xfId="1" applyFont="1" applyBorder="1"/>
    <xf numFmtId="43" fontId="2" fillId="0" borderId="14" xfId="1" applyFont="1" applyBorder="1"/>
    <xf numFmtId="43" fontId="2" fillId="0" borderId="13" xfId="1" applyFont="1" applyBorder="1"/>
    <xf numFmtId="0" fontId="3" fillId="0" borderId="0" xfId="0" applyFont="1" applyAlignment="1">
      <alignment horizontal="center"/>
    </xf>
    <xf numFmtId="164" fontId="0" fillId="0" borderId="0" xfId="0" applyNumberFormat="1"/>
    <xf numFmtId="43" fontId="2" fillId="4" borderId="13" xfId="0" applyNumberFormat="1" applyFont="1" applyFill="1" applyBorder="1" applyAlignment="1">
      <alignment horizontal="center"/>
    </xf>
    <xf numFmtId="0" fontId="2" fillId="11" borderId="12" xfId="0" applyFont="1" applyFill="1" applyBorder="1" applyAlignment="1">
      <alignment horizontal="center"/>
    </xf>
    <xf numFmtId="43" fontId="2" fillId="11" borderId="13" xfId="0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43" fontId="7" fillId="2" borderId="0" xfId="1" applyFont="1" applyFill="1"/>
    <xf numFmtId="0" fontId="0" fillId="0" borderId="0" xfId="0" quotePrefix="1"/>
    <xf numFmtId="0" fontId="0" fillId="0" borderId="9" xfId="0" applyBorder="1"/>
    <xf numFmtId="0" fontId="2" fillId="2" borderId="0" xfId="0" applyFont="1" applyFill="1"/>
    <xf numFmtId="0" fontId="0" fillId="4" borderId="0" xfId="0" applyFill="1"/>
    <xf numFmtId="43" fontId="2" fillId="0" borderId="3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 applyAlignment="1">
      <alignment horizontal="center"/>
    </xf>
    <xf numFmtId="165" fontId="0" fillId="0" borderId="0" xfId="1" applyNumberFormat="1" applyFont="1"/>
    <xf numFmtId="43" fontId="6" fillId="0" borderId="0" xfId="1" applyFont="1"/>
    <xf numFmtId="43" fontId="3" fillId="0" borderId="0" xfId="1" applyFont="1"/>
    <xf numFmtId="0" fontId="0" fillId="0" borderId="0" xfId="0" applyAlignment="1">
      <alignment vertical="center" wrapText="1"/>
    </xf>
    <xf numFmtId="0" fontId="8" fillId="0" borderId="0" xfId="0" applyFont="1"/>
    <xf numFmtId="0" fontId="8" fillId="0" borderId="0" xfId="0" quotePrefix="1" applyFont="1"/>
    <xf numFmtId="0" fontId="8" fillId="0" borderId="0" xfId="0" applyFont="1" applyAlignment="1">
      <alignment horizontal="left"/>
    </xf>
    <xf numFmtId="43" fontId="2" fillId="0" borderId="11" xfId="1" applyFont="1" applyBorder="1" applyAlignment="1">
      <alignment horizontal="center"/>
    </xf>
    <xf numFmtId="166" fontId="0" fillId="0" borderId="0" xfId="0" applyNumberFormat="1"/>
    <xf numFmtId="43" fontId="0" fillId="0" borderId="7" xfId="1" applyFont="1" applyBorder="1"/>
    <xf numFmtId="0" fontId="0" fillId="0" borderId="10" xfId="0" applyBorder="1"/>
    <xf numFmtId="0" fontId="5" fillId="10" borderId="0" xfId="0" applyFont="1" applyFill="1" applyAlignment="1">
      <alignment horizontal="center"/>
    </xf>
    <xf numFmtId="1" fontId="0" fillId="0" borderId="0" xfId="0" applyNumberFormat="1"/>
    <xf numFmtId="43" fontId="2" fillId="0" borderId="0" xfId="0" applyNumberFormat="1" applyFont="1"/>
    <xf numFmtId="0" fontId="2" fillId="8" borderId="8" xfId="0" applyFont="1" applyFill="1" applyBorder="1" applyAlignment="1">
      <alignment horizontal="center"/>
    </xf>
    <xf numFmtId="0" fontId="2" fillId="12" borderId="12" xfId="0" applyFont="1" applyFill="1" applyBorder="1" applyAlignment="1">
      <alignment horizontal="center"/>
    </xf>
    <xf numFmtId="43" fontId="2" fillId="12" borderId="13" xfId="0" applyNumberFormat="1" applyFont="1" applyFill="1" applyBorder="1" applyAlignment="1">
      <alignment horizontal="center"/>
    </xf>
    <xf numFmtId="0" fontId="9" fillId="0" borderId="0" xfId="2" applyFill="1"/>
    <xf numFmtId="165" fontId="0" fillId="0" borderId="0" xfId="0" applyNumberFormat="1"/>
    <xf numFmtId="0" fontId="2" fillId="0" borderId="3" xfId="0" applyFont="1" applyBorder="1"/>
    <xf numFmtId="43" fontId="2" fillId="3" borderId="6" xfId="1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43" fontId="0" fillId="0" borderId="6" xfId="1" applyFont="1" applyBorder="1"/>
    <xf numFmtId="43" fontId="0" fillId="0" borderId="5" xfId="1" applyFont="1" applyBorder="1"/>
    <xf numFmtId="43" fontId="0" fillId="0" borderId="9" xfId="1" applyFont="1" applyBorder="1"/>
    <xf numFmtId="43" fontId="0" fillId="0" borderId="10" xfId="1" applyFont="1" applyBorder="1"/>
    <xf numFmtId="43" fontId="10" fillId="0" borderId="14" xfId="1" applyFont="1" applyBorder="1"/>
    <xf numFmtId="0" fontId="3" fillId="0" borderId="0" xfId="0" applyFont="1" applyAlignment="1">
      <alignment vertical="center" wrapText="1"/>
    </xf>
    <xf numFmtId="0" fontId="10" fillId="0" borderId="0" xfId="0" applyFont="1"/>
    <xf numFmtId="0" fontId="12" fillId="0" borderId="0" xfId="0" applyFont="1"/>
    <xf numFmtId="43" fontId="12" fillId="0" borderId="0" xfId="1" applyFont="1" applyAlignment="1">
      <alignment horizontal="center"/>
    </xf>
    <xf numFmtId="43" fontId="12" fillId="0" borderId="14" xfId="1" applyFont="1" applyBorder="1"/>
    <xf numFmtId="43" fontId="12" fillId="0" borderId="0" xfId="1" applyFont="1" applyBorder="1"/>
    <xf numFmtId="43" fontId="3" fillId="0" borderId="14" xfId="1" applyFont="1" applyBorder="1"/>
    <xf numFmtId="0" fontId="13" fillId="0" borderId="0" xfId="0" applyFont="1"/>
    <xf numFmtId="43" fontId="13" fillId="0" borderId="0" xfId="1" applyFont="1" applyAlignment="1">
      <alignment horizontal="center"/>
    </xf>
    <xf numFmtId="43" fontId="13" fillId="0" borderId="14" xfId="1" applyFont="1" applyBorder="1"/>
    <xf numFmtId="43" fontId="13" fillId="0" borderId="0" xfId="1" applyFont="1" applyBorder="1"/>
    <xf numFmtId="43" fontId="3" fillId="0" borderId="0" xfId="1" applyFont="1" applyBorder="1"/>
    <xf numFmtId="43" fontId="14" fillId="0" borderId="14" xfId="1" applyFont="1" applyBorder="1"/>
    <xf numFmtId="43" fontId="15" fillId="0" borderId="14" xfId="1" applyFont="1" applyBorder="1"/>
    <xf numFmtId="164" fontId="2" fillId="0" borderId="0" xfId="0" applyNumberFormat="1" applyFont="1"/>
    <xf numFmtId="43" fontId="12" fillId="0" borderId="14" xfId="1" applyFont="1" applyFill="1" applyBorder="1"/>
    <xf numFmtId="43" fontId="0" fillId="0" borderId="14" xfId="1" applyFont="1" applyFill="1" applyBorder="1"/>
    <xf numFmtId="43" fontId="0" fillId="0" borderId="0" xfId="1" applyFont="1" applyFill="1" applyBorder="1"/>
    <xf numFmtId="10" fontId="10" fillId="0" borderId="0" xfId="3" applyNumberFormat="1" applyFont="1"/>
    <xf numFmtId="43" fontId="12" fillId="0" borderId="15" xfId="1" applyFont="1" applyBorder="1"/>
    <xf numFmtId="43" fontId="13" fillId="0" borderId="15" xfId="1" applyFont="1" applyBorder="1"/>
    <xf numFmtId="0" fontId="0" fillId="0" borderId="11" xfId="0" applyBorder="1"/>
    <xf numFmtId="43" fontId="3" fillId="0" borderId="15" xfId="1" applyFont="1" applyBorder="1"/>
    <xf numFmtId="43" fontId="0" fillId="0" borderId="7" xfId="1" applyFont="1" applyFill="1" applyBorder="1"/>
    <xf numFmtId="0" fontId="16" fillId="2" borderId="0" xfId="0" applyFont="1" applyFill="1" applyAlignment="1">
      <alignment horizontal="center" vertical="center"/>
    </xf>
    <xf numFmtId="4" fontId="0" fillId="0" borderId="0" xfId="0" applyNumberFormat="1" applyAlignment="1">
      <alignment vertical="center" wrapText="1"/>
    </xf>
    <xf numFmtId="43" fontId="2" fillId="2" borderId="13" xfId="0" applyNumberFormat="1" applyFont="1" applyFill="1" applyBorder="1" applyAlignment="1">
      <alignment horizontal="center"/>
    </xf>
    <xf numFmtId="43" fontId="17" fillId="13" borderId="12" xfId="1" applyFont="1" applyFill="1" applyBorder="1"/>
    <xf numFmtId="43" fontId="17" fillId="13" borderId="14" xfId="1" applyFont="1" applyFill="1" applyBorder="1"/>
    <xf numFmtId="43" fontId="17" fillId="13" borderId="0" xfId="1" applyFont="1" applyFill="1" applyBorder="1"/>
    <xf numFmtId="43" fontId="2" fillId="4" borderId="6" xfId="1" applyFont="1" applyFill="1" applyBorder="1" applyAlignment="1">
      <alignment horizontal="center"/>
    </xf>
    <xf numFmtId="43" fontId="2" fillId="4" borderId="8" xfId="1" applyFont="1" applyFill="1" applyBorder="1" applyAlignment="1">
      <alignment horizontal="center"/>
    </xf>
    <xf numFmtId="43" fontId="2" fillId="3" borderId="12" xfId="1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5" fillId="10" borderId="0" xfId="0" applyFont="1" applyFill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43" fontId="0" fillId="0" borderId="0" xfId="1" applyFont="1" applyAlignment="1">
      <alignment horizontal="left"/>
    </xf>
    <xf numFmtId="165" fontId="0" fillId="0" borderId="0" xfId="1" applyNumberFormat="1" applyFont="1" applyAlignment="1">
      <alignment horizontal="center"/>
    </xf>
    <xf numFmtId="0" fontId="0" fillId="0" borderId="14" xfId="0" applyBorder="1" applyAlignment="1">
      <alignment horizontal="center" vertical="center" wrapText="1"/>
    </xf>
    <xf numFmtId="43" fontId="2" fillId="5" borderId="14" xfId="0" applyNumberFormat="1" applyFont="1" applyFill="1" applyBorder="1" applyAlignment="1">
      <alignment horizontal="center"/>
    </xf>
    <xf numFmtId="43" fontId="2" fillId="6" borderId="0" xfId="0" applyNumberFormat="1" applyFont="1" applyFill="1" applyBorder="1" applyAlignment="1">
      <alignment horizontal="center"/>
    </xf>
    <xf numFmtId="43" fontId="2" fillId="12" borderId="14" xfId="0" applyNumberFormat="1" applyFont="1" applyFill="1" applyBorder="1" applyAlignment="1">
      <alignment horizontal="center"/>
    </xf>
    <xf numFmtId="43" fontId="2" fillId="8" borderId="15" xfId="0" applyNumberFormat="1" applyFont="1" applyFill="1" applyBorder="1" applyAlignment="1">
      <alignment horizontal="center"/>
    </xf>
    <xf numFmtId="43" fontId="2" fillId="11" borderId="14" xfId="0" applyNumberFormat="1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43" fontId="10" fillId="0" borderId="0" xfId="1" applyFont="1" applyBorder="1"/>
    <xf numFmtId="43" fontId="10" fillId="0" borderId="7" xfId="1" applyFont="1" applyBorder="1"/>
    <xf numFmtId="43" fontId="2" fillId="9" borderId="14" xfId="1" applyFont="1" applyFill="1" applyBorder="1" applyAlignment="1">
      <alignment horizontal="center"/>
    </xf>
  </cellXfs>
  <cellStyles count="4">
    <cellStyle name="Collegamento ipertestuale" xfId="2" builtinId="8"/>
    <cellStyle name="Migliaia" xfId="1" builtinId="3"/>
    <cellStyle name="Normale" xfId="0" builtinId="0"/>
    <cellStyle name="Percentuale" xfId="3" builtinId="5"/>
  </cellStyles>
  <dxfs count="0"/>
  <tableStyles count="0" defaultTableStyle="TableStyleMedium2" defaultPivotStyle="PivotStyleLight16"/>
  <colors>
    <mruColors>
      <color rgb="FF99FF66"/>
      <color rgb="FFF06EE1"/>
      <color rgb="FF288831"/>
      <color rgb="FFD60093"/>
      <color rgb="FF816E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Regolamento%20%20challenge%202023%20v6.do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23"/>
  <sheetViews>
    <sheetView tabSelected="1" topLeftCell="A186" workbookViewId="0">
      <selection activeCell="H196" sqref="H196"/>
    </sheetView>
  </sheetViews>
  <sheetFormatPr defaultRowHeight="15" x14ac:dyDescent="0.25"/>
  <cols>
    <col min="1" max="1" width="4" bestFit="1" customWidth="1"/>
    <col min="2" max="2" width="26.140625" bestFit="1" customWidth="1"/>
    <col min="3" max="3" width="7.7109375" style="12" bestFit="1" customWidth="1"/>
    <col min="4" max="4" width="8.42578125" style="12" bestFit="1" customWidth="1"/>
    <col min="5" max="5" width="13.42578125" style="12" bestFit="1" customWidth="1"/>
    <col min="6" max="6" width="20.5703125" style="12" bestFit="1" customWidth="1"/>
    <col min="7" max="7" width="11.7109375" style="4" customWidth="1"/>
    <col min="8" max="8" width="11.7109375" bestFit="1" customWidth="1"/>
    <col min="9" max="9" width="13.140625" customWidth="1"/>
    <col min="10" max="10" width="10.7109375" bestFit="1" customWidth="1"/>
    <col min="11" max="11" width="11.42578125" customWidth="1"/>
    <col min="12" max="12" width="12.140625" customWidth="1"/>
    <col min="13" max="13" width="10" customWidth="1"/>
    <col min="14" max="14" width="13.140625" bestFit="1" customWidth="1"/>
    <col min="15" max="15" width="11.85546875" customWidth="1"/>
    <col min="16" max="16" width="2.140625" customWidth="1"/>
    <col min="17" max="17" width="9" style="6" bestFit="1" customWidth="1"/>
    <col min="18" max="18" width="1.5703125" customWidth="1"/>
    <col min="19" max="19" width="7.42578125" bestFit="1" customWidth="1"/>
    <col min="20" max="20" width="7" style="4" bestFit="1" customWidth="1"/>
    <col min="21" max="21" width="2.28515625" customWidth="1"/>
    <col min="22" max="22" width="11.7109375" style="4" bestFit="1" customWidth="1"/>
    <col min="24" max="24" width="9.42578125" bestFit="1" customWidth="1"/>
    <col min="25" max="25" width="9.140625" style="4"/>
  </cols>
  <sheetData>
    <row r="1" spans="1:26" ht="27.95" customHeight="1" x14ac:dyDescent="0.25">
      <c r="B1" s="129" t="s">
        <v>187</v>
      </c>
      <c r="C1" s="7"/>
      <c r="D1" s="7"/>
      <c r="E1" s="7"/>
      <c r="F1" s="7"/>
      <c r="G1" s="97" t="s">
        <v>67</v>
      </c>
      <c r="H1" s="40" t="s">
        <v>99</v>
      </c>
      <c r="I1" s="37" t="s">
        <v>114</v>
      </c>
      <c r="J1" s="92" t="s">
        <v>374</v>
      </c>
      <c r="K1" s="42" t="s">
        <v>115</v>
      </c>
      <c r="L1" s="98" t="s">
        <v>116</v>
      </c>
      <c r="M1" s="99" t="s">
        <v>117</v>
      </c>
      <c r="N1" s="65" t="s">
        <v>118</v>
      </c>
      <c r="O1" s="45" t="s">
        <v>19</v>
      </c>
      <c r="Q1" s="50" t="s">
        <v>20</v>
      </c>
      <c r="S1" s="135" t="s">
        <v>59</v>
      </c>
      <c r="T1" s="136"/>
      <c r="V1" s="50" t="s">
        <v>20</v>
      </c>
    </row>
    <row r="2" spans="1:26" x14ac:dyDescent="0.25">
      <c r="B2" s="17" t="s">
        <v>42</v>
      </c>
      <c r="C2" s="7"/>
      <c r="D2" s="7"/>
      <c r="E2" s="7"/>
      <c r="F2" s="7"/>
      <c r="G2" s="38">
        <f>+'Nora Sciplino'!P70</f>
        <v>2338.0417500000017</v>
      </c>
      <c r="H2" s="41">
        <f>+Castellotti!P68</f>
        <v>2658.4800000000018</v>
      </c>
      <c r="I2" s="39">
        <f>+Solidarietà!P46</f>
        <v>1990.9889999999998</v>
      </c>
      <c r="J2" s="93">
        <f>+Gallarate!P67</f>
        <v>1852.2195999999994</v>
      </c>
      <c r="K2" s="43">
        <f>+'Giro del Lario'!P36</f>
        <v>1463.4375</v>
      </c>
      <c r="L2" s="44">
        <f>+'Campo dei Fiori'!P43</f>
        <v>2209.9320000000007</v>
      </c>
      <c r="M2" s="64">
        <f>+'Erba Ghisallo'!P72</f>
        <v>1986.2639999999983</v>
      </c>
      <c r="N2" s="66">
        <f>+Ambrosiano!P41</f>
        <v>1607.6676000000004</v>
      </c>
      <c r="O2" s="131">
        <f>+Presolana!P54</f>
        <v>2214.7175000000011</v>
      </c>
      <c r="Q2" s="51" t="s">
        <v>58</v>
      </c>
      <c r="S2" s="52" t="s">
        <v>60</v>
      </c>
      <c r="T2" s="53" t="s">
        <v>38</v>
      </c>
      <c r="V2" s="51" t="s">
        <v>62</v>
      </c>
    </row>
    <row r="3" spans="1:26" s="2" customFormat="1" x14ac:dyDescent="0.25">
      <c r="A3"/>
      <c r="B3" s="17" t="s">
        <v>42</v>
      </c>
      <c r="C3" s="7" t="s">
        <v>35</v>
      </c>
      <c r="D3" s="7" t="s">
        <v>297</v>
      </c>
      <c r="E3" s="7" t="s">
        <v>565</v>
      </c>
      <c r="F3" s="7" t="s">
        <v>184</v>
      </c>
      <c r="G3" s="6">
        <f t="shared" ref="G3:O3" si="0">SUM(G6:G196)</f>
        <v>2338.0417500000021</v>
      </c>
      <c r="H3" s="6">
        <f t="shared" si="0"/>
        <v>2658.4800000000018</v>
      </c>
      <c r="I3" s="6">
        <f t="shared" si="0"/>
        <v>1990.989</v>
      </c>
      <c r="J3" s="6">
        <f t="shared" si="0"/>
        <v>3087.2004361000049</v>
      </c>
      <c r="K3" s="6">
        <f t="shared" si="0"/>
        <v>1463.4375</v>
      </c>
      <c r="L3" s="6">
        <f t="shared" si="0"/>
        <v>2209.9320000000007</v>
      </c>
      <c r="M3" s="6">
        <f t="shared" si="0"/>
        <v>1986.2639999999985</v>
      </c>
      <c r="N3" s="6">
        <f t="shared" si="0"/>
        <v>1607.6676000000002</v>
      </c>
      <c r="O3" s="6">
        <f t="shared" si="0"/>
        <v>2214.7175000000011</v>
      </c>
      <c r="Q3" s="6"/>
      <c r="T3" s="4"/>
      <c r="V3" s="69" t="s">
        <v>120</v>
      </c>
      <c r="Y3" s="6"/>
    </row>
    <row r="4" spans="1:26" x14ac:dyDescent="0.25">
      <c r="G4" s="10">
        <f>+G2-G3</f>
        <v>0</v>
      </c>
      <c r="H4" s="10">
        <f t="shared" ref="H4" si="1">+H2-H3</f>
        <v>0</v>
      </c>
      <c r="I4" s="10">
        <f>+I2-I3</f>
        <v>0</v>
      </c>
      <c r="J4" s="10">
        <f>+J2-J3</f>
        <v>-1234.9808361000055</v>
      </c>
      <c r="K4" s="10">
        <f t="shared" ref="K4:O4" si="2">+K2-K3</f>
        <v>0</v>
      </c>
      <c r="L4" s="10">
        <f>+L2-L3</f>
        <v>0</v>
      </c>
      <c r="M4" s="10">
        <f t="shared" si="2"/>
        <v>0</v>
      </c>
      <c r="N4" s="10">
        <f t="shared" si="2"/>
        <v>0</v>
      </c>
      <c r="O4" s="10">
        <f t="shared" si="2"/>
        <v>0</v>
      </c>
      <c r="Q4" s="6" t="s">
        <v>7</v>
      </c>
      <c r="X4" s="2"/>
    </row>
    <row r="5" spans="1:26" x14ac:dyDescent="0.25">
      <c r="G5" s="10"/>
      <c r="H5" s="10"/>
      <c r="I5" s="10"/>
      <c r="J5" s="123">
        <v>0.78839999999999999</v>
      </c>
      <c r="K5" s="10"/>
      <c r="L5" s="10"/>
      <c r="M5" s="10"/>
      <c r="N5" s="10"/>
      <c r="O5" s="10"/>
      <c r="X5" s="2"/>
    </row>
    <row r="6" spans="1:26" s="2" customFormat="1" x14ac:dyDescent="0.25">
      <c r="A6">
        <v>1</v>
      </c>
      <c r="B6" s="9" t="s">
        <v>15</v>
      </c>
      <c r="C6" s="12" t="str">
        <f>IFERROR(VLOOKUP(B6,concorrenti!A:C,3,0)," ")</f>
        <v>A</v>
      </c>
      <c r="D6" s="12">
        <f>VLOOKUP(B6,concorrenti!A:E,5,0)</f>
        <v>0</v>
      </c>
      <c r="E6" s="12">
        <f>VLOOKUP(B6,concorrenti!A:G,7,0)</f>
        <v>0</v>
      </c>
      <c r="F6" s="12" t="str">
        <f>VLOOKUP(B6,concorrenti!A$1:G$289,2,0)</f>
        <v>OROBICO</v>
      </c>
      <c r="G6" s="46">
        <f>IFERROR(VLOOKUP(B6,'Nora Sciplino'!A$12:P$68,16,0),0)</f>
        <v>104.70899999999999</v>
      </c>
      <c r="H6" s="46">
        <f>IFERROR(VLOOKUP(B6,Castellotti!A$12:P$66,16,0),0)</f>
        <v>0</v>
      </c>
      <c r="I6" s="128">
        <f>IFERROR(VLOOKUP(B6,Solidarietà!A:P,16,0),0)</f>
        <v>121.55</v>
      </c>
      <c r="J6" s="46">
        <f>IFERROR(VLOOKUP(B6,Gallarate!A:P,16,0),0)</f>
        <v>109.34</v>
      </c>
      <c r="K6" s="55">
        <f>IFERROR(VLOOKUP(B6,'Giro del Lario'!A:P,16,0),0)</f>
        <v>98.4375</v>
      </c>
      <c r="L6" s="46">
        <f>IFERROR(VLOOKUP(B6,'Campo dei Fiori'!A:P,16,0),0)</f>
        <v>0</v>
      </c>
      <c r="M6" s="46">
        <f>IFERROR(VLOOKUP(B6,'Erba Ghisallo'!A:P,16,0),0)</f>
        <v>105.84000000000002</v>
      </c>
      <c r="N6" s="46">
        <f>IFERROR(VLOOKUP(B6,Ambrosiano!A:Q,16,0),0)</f>
        <v>94.941000000000003</v>
      </c>
      <c r="O6" s="132">
        <f>IFERROR(VLOOKUP(B6,Presolana!A:Q,16,0),0)</f>
        <v>63.239999999999995</v>
      </c>
      <c r="P6" s="4"/>
      <c r="Q6" s="59">
        <f>SUM(G6:N6)</f>
        <v>634.8175</v>
      </c>
      <c r="R6"/>
      <c r="S6" s="54">
        <f>COUNTIF(G6:O6,"&lt;&gt;0")</f>
        <v>7</v>
      </c>
      <c r="T6" s="55">
        <f>VLOOKUP(S6,Regolamento!G$6:I$14,3,0)</f>
        <v>1.3</v>
      </c>
      <c r="U6"/>
      <c r="V6" s="59">
        <f t="shared" ref="V6:V37" si="3">+T6*Q6</f>
        <v>825.26274999999998</v>
      </c>
      <c r="Y6" s="4"/>
      <c r="Z6" s="119"/>
    </row>
    <row r="7" spans="1:26" s="2" customFormat="1" x14ac:dyDescent="0.25">
      <c r="A7">
        <v>2</v>
      </c>
      <c r="B7" s="107" t="s">
        <v>217</v>
      </c>
      <c r="C7" s="108" t="str">
        <f>IFERROR(VLOOKUP(B7,concorrenti!A:C,3,0)," ")</f>
        <v>A</v>
      </c>
      <c r="D7" s="108" t="str">
        <f>VLOOKUP(B7,concorrenti!A:E,5,0)</f>
        <v>X</v>
      </c>
      <c r="E7" s="108">
        <f>VLOOKUP(B7,concorrenti!A:G,7,0)</f>
        <v>0</v>
      </c>
      <c r="F7" s="108" t="str">
        <f>VLOOKUP(B7,concorrenti!A$1:G$289,2,0)</f>
        <v>OROBICO</v>
      </c>
      <c r="G7" s="109">
        <f>IFERROR(VLOOKUP(B7,'Nora Sciplino'!A$12:P$68,16,0),0)</f>
        <v>0</v>
      </c>
      <c r="H7" s="120">
        <f>IFERROR(VLOOKUP(B7,Castellotti!A$12:P$66,16,0),0)</f>
        <v>128.53499999999997</v>
      </c>
      <c r="I7" s="110">
        <f>IFERROR(VLOOKUP(B7,Solidarietà!A:P,16,0),0)</f>
        <v>85.084999999999994</v>
      </c>
      <c r="J7" s="133">
        <f>IFERROR(VLOOKUP(B7,Gallarate!A:P,16,0),0)</f>
        <v>78.724800000000002</v>
      </c>
      <c r="K7" s="124">
        <f>IFERROR(VLOOKUP(B7,'Giro del Lario'!A:P,16,0),0)</f>
        <v>89.6875</v>
      </c>
      <c r="L7" s="109">
        <f>IFERROR(VLOOKUP(B7,'Campo dei Fiori'!A:P,16,0),0)</f>
        <v>0</v>
      </c>
      <c r="M7" s="109">
        <f>IFERROR(VLOOKUP(B7,'Erba Ghisallo'!A:P,16,0),0)</f>
        <v>84.672000000000011</v>
      </c>
      <c r="N7" s="109">
        <f>IFERROR(VLOOKUP(B7,Ambrosiano!A:Q,16,0),0)</f>
        <v>80.17240000000001</v>
      </c>
      <c r="O7" s="47">
        <f>IFERROR(VLOOKUP(B7,Presolana!A:Q,16,0),0)</f>
        <v>108.03500000000001</v>
      </c>
      <c r="P7" s="4"/>
      <c r="Q7" s="60">
        <f>+H7+I7+K7+M7+O7+N7</f>
        <v>576.18690000000004</v>
      </c>
      <c r="R7"/>
      <c r="S7" s="56">
        <f>COUNTIF(G7:O7,"&lt;&gt;0")</f>
        <v>7</v>
      </c>
      <c r="T7" s="57">
        <f>VLOOKUP(S7,Regolamento!G$6:I$14,3,0)</f>
        <v>1.3</v>
      </c>
      <c r="U7"/>
      <c r="V7" s="118">
        <f t="shared" si="3"/>
        <v>749.04297000000008</v>
      </c>
      <c r="Y7" s="4"/>
    </row>
    <row r="8" spans="1:26" x14ac:dyDescent="0.25">
      <c r="A8">
        <v>3</v>
      </c>
      <c r="B8" s="8" t="s">
        <v>21</v>
      </c>
      <c r="C8" s="12" t="str">
        <f>IFERROR(VLOOKUP(B8,concorrenti!A:C,3,0)," ")</f>
        <v>A</v>
      </c>
      <c r="D8" s="12">
        <f>VLOOKUP(B8,concorrenti!A:E,5,0)</f>
        <v>0</v>
      </c>
      <c r="E8" s="12">
        <f>VLOOKUP(B8,concorrenti!A:G,7,0)</f>
        <v>0</v>
      </c>
      <c r="F8" s="12" t="str">
        <f>VLOOKUP(B8,concorrenti!A$1:G$289,2,0)</f>
        <v>CAVEM</v>
      </c>
      <c r="G8" s="121">
        <f>IFERROR(VLOOKUP(B8,'Nora Sciplino'!A$12:P$68,16,0),0)</f>
        <v>137.77500000000001</v>
      </c>
      <c r="H8" s="47">
        <f>IFERROR(VLOOKUP(B8,Castellotti!A$12:P$66,16,0),0)</f>
        <v>112.85999999999999</v>
      </c>
      <c r="I8" s="47">
        <f>IFERROR(VLOOKUP(B8,Solidarietà!A:P,16,0),0)</f>
        <v>87.515999999999991</v>
      </c>
      <c r="J8" s="104">
        <f>SUM(G8:I8)/3*J$5</f>
        <v>88.866082799999987</v>
      </c>
      <c r="K8" s="57">
        <f>IFERROR(VLOOKUP(B8,'Giro del Lario'!A:P,16,0),0)</f>
        <v>0</v>
      </c>
      <c r="L8" s="47">
        <f>IFERROR(VLOOKUP(B8,'Campo dei Fiori'!A:P,16,0),0)</f>
        <v>0</v>
      </c>
      <c r="M8" s="47">
        <f>IFERROR(VLOOKUP(B8,'Erba Ghisallo'!A:P,16,0),0)</f>
        <v>82.32</v>
      </c>
      <c r="N8" s="47">
        <f>IFERROR(VLOOKUP(B8,Ambrosiano!A:Q,16,0),0)</f>
        <v>105.49000000000001</v>
      </c>
      <c r="O8" s="47">
        <f>IFERROR(VLOOKUP(B8,Presolana!A:Q,16,0),0)</f>
        <v>0</v>
      </c>
      <c r="P8" s="4"/>
      <c r="Q8" s="60">
        <f>SUM(G8:P8)</f>
        <v>614.82708279999997</v>
      </c>
      <c r="R8" s="2"/>
      <c r="S8" s="56">
        <f>COUNTIF(G8:O8,"&lt;&gt;0")-1</f>
        <v>5</v>
      </c>
      <c r="T8" s="57">
        <f>VLOOKUP(S8,Regolamento!G$6:I$14,3,0)</f>
        <v>1.2</v>
      </c>
      <c r="U8" s="2"/>
      <c r="V8" s="60">
        <f t="shared" si="3"/>
        <v>737.79249935999997</v>
      </c>
      <c r="X8" s="2"/>
    </row>
    <row r="9" spans="1:26" x14ac:dyDescent="0.25">
      <c r="A9">
        <v>4</v>
      </c>
      <c r="B9" s="8" t="s">
        <v>17</v>
      </c>
      <c r="C9" s="12" t="str">
        <f>IFERROR(VLOOKUP(B9,concorrenti!A:C,3,0)," ")</f>
        <v>A</v>
      </c>
      <c r="D9" s="12">
        <f>VLOOKUP(B9,concorrenti!A:E,5,0)</f>
        <v>0</v>
      </c>
      <c r="E9" s="12">
        <f>VLOOKUP(B9,concorrenti!A:G,7,0)</f>
        <v>0</v>
      </c>
      <c r="F9" s="12" t="str">
        <f>VLOOKUP(B9,concorrenti!A$1:G$289,2,0)</f>
        <v>VAMS</v>
      </c>
      <c r="G9" s="47">
        <f>IFERROR(VLOOKUP(B9,'Nora Sciplino'!A$12:P$68,16,0),0)</f>
        <v>85.42049999999999</v>
      </c>
      <c r="H9" s="47">
        <f>IFERROR(VLOOKUP(B9,Castellotti!A$12:P$66,16,0),0)</f>
        <v>84.644999999999996</v>
      </c>
      <c r="I9" s="134">
        <f>IFERROR(VLOOKUP(B9,Solidarietà!A:P,16,0),0)</f>
        <v>65.637</v>
      </c>
      <c r="J9" s="47">
        <f>IFERROR(VLOOKUP(B9,Gallarate!A:P,16,0),0)</f>
        <v>76.537999999999997</v>
      </c>
      <c r="K9" s="57">
        <f>IFERROR(VLOOKUP(B9,'Giro del Lario'!A:P,16,0),0)</f>
        <v>76.5625</v>
      </c>
      <c r="L9" s="47">
        <f>IFERROR(VLOOKUP(B9,'Campo dei Fiori'!A:P,16,0),0)</f>
        <v>126.684</v>
      </c>
      <c r="M9" s="133">
        <f>IFERROR(VLOOKUP(B9,'Erba Ghisallo'!A:P,16,0),0)</f>
        <v>75.263999999999996</v>
      </c>
      <c r="N9" s="133">
        <f>IFERROR(VLOOKUP(B9,Ambrosiano!A:Q,16,0),0)</f>
        <v>65.403800000000004</v>
      </c>
      <c r="O9" s="47">
        <f>IFERROR(VLOOKUP(B9,Presolana!A:Q,16,0),0)</f>
        <v>76.414999999999992</v>
      </c>
      <c r="Q9" s="60">
        <f>+G9+H9+J9+K9+L9+O9</f>
        <v>526.26499999999999</v>
      </c>
      <c r="S9" s="56">
        <f>COUNTIF(G9:O9,"&lt;&gt;0")</f>
        <v>9</v>
      </c>
      <c r="T9" s="57">
        <f>VLOOKUP(S9,Regolamento!G$6:I$14,3,0)</f>
        <v>1.4</v>
      </c>
      <c r="V9" s="60">
        <f t="shared" si="3"/>
        <v>736.77099999999996</v>
      </c>
      <c r="X9" s="2"/>
    </row>
    <row r="10" spans="1:26" x14ac:dyDescent="0.25">
      <c r="A10">
        <v>5</v>
      </c>
      <c r="B10" s="8" t="s">
        <v>12</v>
      </c>
      <c r="C10" s="12" t="str">
        <f>IFERROR(VLOOKUP(B10,concorrenti!A:C,3,0)," ")</f>
        <v>A</v>
      </c>
      <c r="D10" s="12">
        <f>VLOOKUP(B10,concorrenti!A:E,5,0)</f>
        <v>0</v>
      </c>
      <c r="E10" s="12">
        <f>VLOOKUP(B10,concorrenti!A:G,7,0)</f>
        <v>0</v>
      </c>
      <c r="F10" s="12" t="str">
        <f>VLOOKUP(B10,concorrenti!A$1:G$289,2,0)</f>
        <v>VAMS</v>
      </c>
      <c r="G10" s="47">
        <f>IFERROR(VLOOKUP(B10,'Nora Sciplino'!A$12:P$68,16,0),0)</f>
        <v>93.686999999999983</v>
      </c>
      <c r="H10" s="47">
        <f>IFERROR(VLOOKUP(B10,Castellotti!A$12:P$66,16,0),0)</f>
        <v>109.72499999999999</v>
      </c>
      <c r="I10" s="75">
        <f>IFERROR(VLOOKUP(B10,Solidarietà!A:P,16,0),0)</f>
        <v>92.377999999999986</v>
      </c>
      <c r="J10" s="47">
        <f>IFERROR(VLOOKUP(B10,Gallarate!A:P,16,0),0)</f>
        <v>61.230399999999996</v>
      </c>
      <c r="K10" s="57">
        <f>IFERROR(VLOOKUP(B10,'Giro del Lario'!A:P,16,0),0)</f>
        <v>0</v>
      </c>
      <c r="L10" s="47">
        <f>IFERROR(VLOOKUP(B10,'Campo dei Fiori'!A:P,16,0),0)</f>
        <v>115.42319999999999</v>
      </c>
      <c r="M10" s="133">
        <f>IFERROR(VLOOKUP(B10,'Erba Ghisallo'!A:P,16,0),0)</f>
        <v>30.576000000000001</v>
      </c>
      <c r="N10" s="47">
        <f>IFERROR(VLOOKUP(B10,Ambrosiano!A:Q,16,0),0)</f>
        <v>0</v>
      </c>
      <c r="O10" s="47">
        <f>IFERROR(VLOOKUP(B10,Presolana!A:Q,16,0),0)</f>
        <v>79.05</v>
      </c>
      <c r="P10" s="4"/>
      <c r="Q10" s="60">
        <f>SUM(G10:P10)-M10</f>
        <v>551.4935999999999</v>
      </c>
      <c r="S10" s="56">
        <f>COUNTIF(G10:O10,"&lt;&gt;0")</f>
        <v>7</v>
      </c>
      <c r="T10" s="57">
        <f>VLOOKUP(S10,Regolamento!G$6:I$14,3,0)</f>
        <v>1.3</v>
      </c>
      <c r="V10" s="60">
        <f t="shared" si="3"/>
        <v>716.94167999999991</v>
      </c>
      <c r="X10" s="2"/>
      <c r="Z10" s="119"/>
    </row>
    <row r="11" spans="1:26" x14ac:dyDescent="0.25">
      <c r="A11">
        <v>6</v>
      </c>
      <c r="B11" s="8" t="s">
        <v>23</v>
      </c>
      <c r="C11" s="12" t="str">
        <f>IFERROR(VLOOKUP(B11,concorrenti!A:C,3,0)," ")</f>
        <v>A</v>
      </c>
      <c r="D11" s="12">
        <f>VLOOKUP(B11,concorrenti!A:E,5,0)</f>
        <v>0</v>
      </c>
      <c r="E11" s="12">
        <f>VLOOKUP(B11,concorrenti!A:G,7,0)</f>
        <v>0</v>
      </c>
      <c r="F11" s="12" t="str">
        <f>VLOOKUP(B11,concorrenti!A$1:G$289,2,0)</f>
        <v>CASTELLOTTI</v>
      </c>
      <c r="G11" s="47">
        <f>IFERROR(VLOOKUP(B11,'Nora Sciplino'!A$12:P$68,16,0),0)</f>
        <v>90.931499999999986</v>
      </c>
      <c r="H11" s="47">
        <f>IFERROR(VLOOKUP(B11,Castellotti!A$12:P$66,16,0),0)</f>
        <v>87.779999999999987</v>
      </c>
      <c r="I11" s="75">
        <f>IFERROR(VLOOKUP(B11,Solidarietà!A:P,16,0),0)</f>
        <v>80.222999999999999</v>
      </c>
      <c r="J11" s="133">
        <f>SUM(G11:I11)/3*J$5</f>
        <v>68.047986599999987</v>
      </c>
      <c r="K11" s="57">
        <f>IFERROR(VLOOKUP(B11,'Giro del Lario'!A:P,16,0),0)</f>
        <v>0</v>
      </c>
      <c r="L11" s="47">
        <f>IFERROR(VLOOKUP(B11,'Campo dei Fiori'!A:P,16,0),0)</f>
        <v>84.455999999999989</v>
      </c>
      <c r="M11" s="47">
        <f>IFERROR(VLOOKUP(B11,'Erba Ghisallo'!A:P,16,0),0)</f>
        <v>0</v>
      </c>
      <c r="N11" s="47">
        <f>IFERROR(VLOOKUP(B11,Ambrosiano!A:Q,16,0),0)</f>
        <v>69.623400000000004</v>
      </c>
      <c r="O11" s="47">
        <f>IFERROR(VLOOKUP(B11,Presolana!A:Q,16,0),0)</f>
        <v>92.225000000000009</v>
      </c>
      <c r="P11" s="4"/>
      <c r="Q11" s="60">
        <f>SUM(G11:P11)-J11</f>
        <v>505.23889999999989</v>
      </c>
      <c r="S11" s="56">
        <f>COUNTIF(G11:O11,"&lt;&gt;0")-1</f>
        <v>6</v>
      </c>
      <c r="T11" s="57">
        <f>VLOOKUP(S11,Regolamento!G$6:I$14,3,0)</f>
        <v>1.25</v>
      </c>
      <c r="V11" s="60">
        <f t="shared" si="3"/>
        <v>631.5486249999999</v>
      </c>
      <c r="X11" s="2"/>
    </row>
    <row r="12" spans="1:26" x14ac:dyDescent="0.25">
      <c r="A12">
        <v>7</v>
      </c>
      <c r="B12" s="8" t="s">
        <v>69</v>
      </c>
      <c r="C12" s="12" t="str">
        <f>IFERROR(VLOOKUP(B12,concorrenti!A:C,3,0)," ")</f>
        <v>A</v>
      </c>
      <c r="D12" s="12">
        <f>VLOOKUP(B12,concorrenti!A:E,5,0)</f>
        <v>0</v>
      </c>
      <c r="E12" s="12">
        <f>VLOOKUP(B12,concorrenti!A:G,7,0)</f>
        <v>0</v>
      </c>
      <c r="F12" s="12" t="str">
        <f>VLOOKUP(B12,concorrenti!A$1:G$289,2,0)</f>
        <v>CASTELLOTTI</v>
      </c>
      <c r="G12" s="47">
        <f>IFERROR(VLOOKUP(B12,'Nora Sciplino'!A$12:P$68,16,0),0)</f>
        <v>99.197999999999993</v>
      </c>
      <c r="H12" s="47">
        <f>IFERROR(VLOOKUP(B12,Castellotti!A$12:P$66,16,0),0)</f>
        <v>90.914999999999992</v>
      </c>
      <c r="I12" s="75">
        <f>IFERROR(VLOOKUP(B12,Solidarietà!A:P,16,0),0)</f>
        <v>77.792000000000002</v>
      </c>
      <c r="J12" s="104">
        <f>SUM(G12:I12)/3*J$5</f>
        <v>70.405434</v>
      </c>
      <c r="K12" s="57">
        <f>IFERROR(VLOOKUP(B12,'Giro del Lario'!A:P,16,0),0)</f>
        <v>0</v>
      </c>
      <c r="L12" s="47">
        <f>IFERROR(VLOOKUP(B12,'Campo dei Fiori'!A:P,16,0),0)</f>
        <v>0</v>
      </c>
      <c r="M12" s="47">
        <f>IFERROR(VLOOKUP(B12,'Erba Ghisallo'!A:P,16,0),0)</f>
        <v>96.432000000000002</v>
      </c>
      <c r="N12" s="47">
        <f>IFERROR(VLOOKUP(B12,Ambrosiano!A:Q,16,0),0)</f>
        <v>0</v>
      </c>
      <c r="O12" s="47">
        <f>IFERROR(VLOOKUP(B12,Presolana!A:Q,16,0),0)</f>
        <v>84.32</v>
      </c>
      <c r="P12" s="4"/>
      <c r="Q12" s="60">
        <f>SUM(G12:P12)</f>
        <v>519.06243399999994</v>
      </c>
      <c r="S12" s="56">
        <f>COUNTIF(G12:O12,"&lt;&gt;0")-1</f>
        <v>5</v>
      </c>
      <c r="T12" s="57">
        <f>VLOOKUP(S12,Regolamento!G$6:I$14,3,0)</f>
        <v>1.2</v>
      </c>
      <c r="V12" s="60">
        <f t="shared" si="3"/>
        <v>622.87492079999993</v>
      </c>
      <c r="X12" s="2"/>
      <c r="Z12" s="119"/>
    </row>
    <row r="13" spans="1:26" x14ac:dyDescent="0.25">
      <c r="A13">
        <v>8</v>
      </c>
      <c r="B13" s="8" t="s">
        <v>76</v>
      </c>
      <c r="C13" s="12" t="str">
        <f>IFERROR(VLOOKUP(B13,concorrenti!A:C,3,0)," ")</f>
        <v>A</v>
      </c>
      <c r="D13" s="12">
        <f>VLOOKUP(B13,concorrenti!A:E,5,0)</f>
        <v>0</v>
      </c>
      <c r="E13" s="12">
        <f>VLOOKUP(B13,concorrenti!A:G,7,0)</f>
        <v>0</v>
      </c>
      <c r="F13" s="12" t="str">
        <f>VLOOKUP(B13,concorrenti!A$1:G$289,2,0)</f>
        <v>CASTELLOTTI</v>
      </c>
      <c r="G13" s="47">
        <f>IFERROR(VLOOKUP(B13,'Nora Sciplino'!A$12:P$68,16,0),0)</f>
        <v>66.131999999999991</v>
      </c>
      <c r="H13" s="47">
        <f>IFERROR(VLOOKUP(B13,Castellotti!A$12:P$66,16,0),0)</f>
        <v>97.184999999999988</v>
      </c>
      <c r="I13" s="47">
        <f>IFERROR(VLOOKUP(B13,Solidarietà!A:P,16,0),0)</f>
        <v>75.36099999999999</v>
      </c>
      <c r="J13" s="104">
        <f>SUM(G13:I13)/3*J$5</f>
        <v>62.724578399999992</v>
      </c>
      <c r="K13" s="57">
        <f>IFERROR(VLOOKUP(B13,'Giro del Lario'!A:P,16,0),0)</f>
        <v>0</v>
      </c>
      <c r="L13" s="47">
        <f>IFERROR(VLOOKUP(B13,'Campo dei Fiori'!A:P,16,0),0)</f>
        <v>0</v>
      </c>
      <c r="M13" s="133">
        <f>IFERROR(VLOOKUP(B13,'Erba Ghisallo'!A:P,16,0),0)</f>
        <v>49.392000000000003</v>
      </c>
      <c r="N13" s="47">
        <f>IFERROR(VLOOKUP(B13,Ambrosiano!A:Q,16,0),0)</f>
        <v>73.843000000000004</v>
      </c>
      <c r="O13" s="47">
        <f>IFERROR(VLOOKUP(B13,Presolana!A:Q,16,0),0)</f>
        <v>89.59</v>
      </c>
      <c r="P13" s="4"/>
      <c r="Q13" s="60">
        <f>SUM(G13:P13)-M13</f>
        <v>464.83557839999997</v>
      </c>
      <c r="S13" s="56">
        <f>COUNTIF(G13:O13,"&lt;&gt;0")-1</f>
        <v>6</v>
      </c>
      <c r="T13" s="57">
        <f>VLOOKUP(S13,Regolamento!G$6:I$14,3,0)</f>
        <v>1.25</v>
      </c>
      <c r="V13" s="60">
        <f t="shared" si="3"/>
        <v>581.04447299999993</v>
      </c>
      <c r="X13" s="2"/>
      <c r="Z13" s="119"/>
    </row>
    <row r="14" spans="1:26" x14ac:dyDescent="0.25">
      <c r="A14">
        <v>9</v>
      </c>
      <c r="B14" s="112" t="s">
        <v>16</v>
      </c>
      <c r="C14" s="113" t="str">
        <f>IFERROR(VLOOKUP(B14,concorrenti!A:C,3,0)," ")</f>
        <v>B</v>
      </c>
      <c r="D14" s="113">
        <f>VLOOKUP(B14,concorrenti!A:E,5,0)</f>
        <v>0</v>
      </c>
      <c r="E14" s="113">
        <f>VLOOKUP(B14,concorrenti!A:G,7,0)</f>
        <v>0</v>
      </c>
      <c r="F14" s="113" t="str">
        <f>VLOOKUP(B14,concorrenti!A$1:G$289,2,0)</f>
        <v>OROBICO</v>
      </c>
      <c r="G14" s="114">
        <f>IFERROR(VLOOKUP(B14,'Nora Sciplino'!A$12:P$68,16,0),0)</f>
        <v>71.643000000000001</v>
      </c>
      <c r="H14" s="114">
        <f>IFERROR(VLOOKUP(B14,Castellotti!A$12:P$66,16,0),0)</f>
        <v>0</v>
      </c>
      <c r="I14" s="134">
        <f>IFERROR(VLOOKUP(B14,Solidarietà!A:P,16,0),0)</f>
        <v>53.481999999999992</v>
      </c>
      <c r="J14" s="114">
        <f>IFERROR(VLOOKUP(B14,Gallarate!A:P,16,0),0)</f>
        <v>69.977599999999995</v>
      </c>
      <c r="K14" s="125">
        <f>IFERROR(VLOOKUP(B14,'Giro del Lario'!A:P,16,0),0)</f>
        <v>67.8125</v>
      </c>
      <c r="L14" s="114">
        <f>IFERROR(VLOOKUP(B14,'Campo dei Fiori'!A:P,16,0),0)</f>
        <v>90.086399999999998</v>
      </c>
      <c r="M14" s="114">
        <f>IFERROR(VLOOKUP(B14,'Erba Ghisallo'!A:P,16,0),0)</f>
        <v>65.855999999999995</v>
      </c>
      <c r="N14" s="114">
        <f>IFERROR(VLOOKUP(B14,Ambrosiano!A:Q,16,0),0)</f>
        <v>59.074400000000011</v>
      </c>
      <c r="O14" s="133">
        <f>IFERROR(VLOOKUP(B14,Presolana!A:Q,16,0),0)</f>
        <v>42.16</v>
      </c>
      <c r="P14" s="4"/>
      <c r="Q14" s="60">
        <f>+G14+J14+K14+L14+M14+N14</f>
        <v>424.44990000000001</v>
      </c>
      <c r="S14" s="56">
        <f>COUNTIF(G14:O14,"&lt;&gt;0")</f>
        <v>8</v>
      </c>
      <c r="T14" s="57">
        <f>VLOOKUP(S14,Regolamento!G$6:I$14,3,0)</f>
        <v>1.35</v>
      </c>
      <c r="V14" s="117">
        <f t="shared" si="3"/>
        <v>573.00736500000005</v>
      </c>
      <c r="X14" s="2"/>
    </row>
    <row r="15" spans="1:26" x14ac:dyDescent="0.25">
      <c r="A15">
        <v>10</v>
      </c>
      <c r="B15" s="107" t="s">
        <v>190</v>
      </c>
      <c r="C15" s="108" t="str">
        <f>IFERROR(VLOOKUP(B15,concorrenti!A:C,3,0)," ")</f>
        <v>A</v>
      </c>
      <c r="D15" s="108" t="str">
        <f>VLOOKUP(B15,concorrenti!A:E,5,0)</f>
        <v>X</v>
      </c>
      <c r="E15" s="108">
        <f>VLOOKUP(B15,concorrenti!A:G,7,0)</f>
        <v>0</v>
      </c>
      <c r="F15" s="108" t="str">
        <f>VLOOKUP(B15,concorrenti!A$1:G$289,2,0)</f>
        <v>CASTELLOTTI</v>
      </c>
      <c r="G15" s="109">
        <f>IFERROR(VLOOKUP(B15,'Nora Sciplino'!A$12:P$68,16,0),0)</f>
        <v>0</v>
      </c>
      <c r="H15" s="120">
        <f>IFERROR(VLOOKUP(B15,Castellotti!A$12:P$66,16,0),0)</f>
        <v>141.07499999999999</v>
      </c>
      <c r="I15" s="110">
        <f>IFERROR(VLOOKUP(B15,Solidarietà!A:P,16,0),0)</f>
        <v>0</v>
      </c>
      <c r="J15" s="104">
        <f>SUM(G15:I15)/3*J$5</f>
        <v>37.074509999999997</v>
      </c>
      <c r="K15" s="124">
        <f>IFERROR(VLOOKUP(B15,'Giro del Lario'!A:P,16,0),0)</f>
        <v>109.375</v>
      </c>
      <c r="L15" s="109">
        <f>IFERROR(VLOOKUP(B15,'Campo dei Fiori'!A:P,16,0),0)</f>
        <v>0</v>
      </c>
      <c r="M15" s="109">
        <f>IFERROR(VLOOKUP(B15,'Erba Ghisallo'!A:P,16,0),0)</f>
        <v>0</v>
      </c>
      <c r="N15" s="109">
        <f>IFERROR(VLOOKUP(B15,Ambrosiano!A:Q,16,0),0)</f>
        <v>86.501800000000003</v>
      </c>
      <c r="O15" s="47">
        <f>IFERROR(VLOOKUP(B15,Presolana!A:Q,16,0),0)</f>
        <v>118.575</v>
      </c>
      <c r="P15" s="4"/>
      <c r="Q15" s="60">
        <f>SUM(G15:P15)</f>
        <v>492.60130999999996</v>
      </c>
      <c r="S15" s="56">
        <f>COUNTIF(G15:O15,"&lt;&gt;0")-1</f>
        <v>4</v>
      </c>
      <c r="T15" s="57">
        <f>VLOOKUP(S15,Regolamento!G$6:I$14,3,0)</f>
        <v>1.1499999999999999</v>
      </c>
      <c r="V15" s="118">
        <f t="shared" si="3"/>
        <v>566.4915064999999</v>
      </c>
      <c r="X15" s="2"/>
    </row>
    <row r="16" spans="1:26" x14ac:dyDescent="0.25">
      <c r="A16">
        <v>11</v>
      </c>
      <c r="B16" s="8" t="s">
        <v>315</v>
      </c>
      <c r="C16" s="12" t="str">
        <f>IFERROR(VLOOKUP(B16,concorrenti!A:C,3,0)," ")</f>
        <v>B</v>
      </c>
      <c r="D16" s="12">
        <f>VLOOKUP(B16,concorrenti!A:E,5,0)</f>
        <v>0</v>
      </c>
      <c r="E16" s="12">
        <f>VLOOKUP(B16,concorrenti!A:G,7,0)</f>
        <v>0</v>
      </c>
      <c r="F16" s="12" t="str">
        <f>VLOOKUP(B16,concorrenti!A$1:G$289,2,0)</f>
        <v>VALTELLINA</v>
      </c>
      <c r="G16" s="47">
        <f>IFERROR(VLOOKUP(B16,'Nora Sciplino'!A$12:P$68,16,0),0)</f>
        <v>57.865499999999997</v>
      </c>
      <c r="H16" s="47">
        <f>IFERROR(VLOOKUP(B16,Castellotti!A$12:P$66,16,0),0)</f>
        <v>0</v>
      </c>
      <c r="I16" s="75">
        <f>IFERROR(VLOOKUP(B16,Solidarietà!A:P,16,0),0)</f>
        <v>60.774999999999999</v>
      </c>
      <c r="J16" s="47">
        <f>IFERROR(VLOOKUP(B16,Gallarate!A:P,16,0),0)</f>
        <v>74.351200000000006</v>
      </c>
      <c r="K16" s="57">
        <f>IFERROR(VLOOKUP(B16,'Giro del Lario'!A:P,16,0),0)</f>
        <v>0</v>
      </c>
      <c r="L16" s="47">
        <f>IFERROR(VLOOKUP(B16,'Campo dei Fiori'!A:P,16,0),0)</f>
        <v>95.716799999999992</v>
      </c>
      <c r="M16" s="133">
        <f>IFERROR(VLOOKUP(B16,'Erba Ghisallo'!A:P,16,0),0)</f>
        <v>42.336000000000006</v>
      </c>
      <c r="N16" s="47">
        <f>IFERROR(VLOOKUP(B16,Ambrosiano!A:Q,16,0),0)</f>
        <v>61.184200000000011</v>
      </c>
      <c r="O16" s="47">
        <f>IFERROR(VLOOKUP(B16,Presolana!A:Q,16,0),0)</f>
        <v>60.605000000000004</v>
      </c>
      <c r="Q16" s="60">
        <f>SUM(G16:P16)-M16</f>
        <v>410.49770000000007</v>
      </c>
      <c r="S16" s="56">
        <f>COUNTIF(G16:O16,"&lt;&gt;0")</f>
        <v>7</v>
      </c>
      <c r="T16" s="57">
        <f>VLOOKUP(S16,Regolamento!G$6:I$14,3,0)</f>
        <v>1.3</v>
      </c>
      <c r="V16" s="60">
        <f t="shared" si="3"/>
        <v>533.64701000000014</v>
      </c>
      <c r="X16" s="2"/>
      <c r="Z16" s="119"/>
    </row>
    <row r="17" spans="1:26" x14ac:dyDescent="0.25">
      <c r="A17">
        <v>12</v>
      </c>
      <c r="B17" s="112" t="s">
        <v>70</v>
      </c>
      <c r="C17" s="113" t="str">
        <f>IFERROR(VLOOKUP(B17,concorrenti!A:C,3,0)," ")</f>
        <v>A</v>
      </c>
      <c r="D17" s="113">
        <f>VLOOKUP(B17,concorrenti!A:E,5,0)</f>
        <v>0</v>
      </c>
      <c r="E17" s="113">
        <f>VLOOKUP(B17,concorrenti!A:G,7,0)</f>
        <v>0</v>
      </c>
      <c r="F17" s="113" t="str">
        <f>VLOOKUP(B17,concorrenti!A$1:G$289,2,0)</f>
        <v>CAVEM</v>
      </c>
      <c r="G17" s="114">
        <f>IFERROR(VLOOKUP(B17,'Nora Sciplino'!A$12:P$68,16,0),0)</f>
        <v>82.664999999999992</v>
      </c>
      <c r="H17" s="114">
        <f>IFERROR(VLOOKUP(B17,Castellotti!A$12:P$66,16,0),0)</f>
        <v>106.58999999999999</v>
      </c>
      <c r="I17" s="115">
        <f>IFERROR(VLOOKUP(B17,Solidarietà!A:P,16,0),0)</f>
        <v>46.188999999999993</v>
      </c>
      <c r="J17" s="104">
        <f>SUM(G17:I17)/3*J$5</f>
        <v>61.874683199999993</v>
      </c>
      <c r="K17" s="125">
        <f>IFERROR(VLOOKUP(B17,'Giro del Lario'!A:P,16,0),0)</f>
        <v>0</v>
      </c>
      <c r="L17" s="114">
        <f>IFERROR(VLOOKUP(B17,'Campo dei Fiori'!A:P,16,0),0)</f>
        <v>0</v>
      </c>
      <c r="M17" s="114">
        <f>IFERROR(VLOOKUP(B17,'Erba Ghisallo'!A:P,16,0),0)</f>
        <v>70.56</v>
      </c>
      <c r="N17" s="114">
        <f>IFERROR(VLOOKUP(B17,Ambrosiano!A:Q,16,0),0)</f>
        <v>0</v>
      </c>
      <c r="O17" s="47">
        <f>IFERROR(VLOOKUP(B17,Presolana!A:Q,16,0),0)</f>
        <v>65.875</v>
      </c>
      <c r="P17" s="4"/>
      <c r="Q17" s="60">
        <f t="shared" ref="Q17:Q48" si="4">SUM(G17:P17)</f>
        <v>433.75368320000001</v>
      </c>
      <c r="R17" s="2"/>
      <c r="S17" s="56">
        <f>COUNTIF(G17:O17,"&lt;&gt;0")-1</f>
        <v>5</v>
      </c>
      <c r="T17" s="57">
        <f>VLOOKUP(S17,Regolamento!G$6:I$14,3,0)</f>
        <v>1.2</v>
      </c>
      <c r="U17" s="2"/>
      <c r="V17" s="117">
        <f t="shared" si="3"/>
        <v>520.50441983999997</v>
      </c>
      <c r="X17" s="2"/>
    </row>
    <row r="18" spans="1:26" x14ac:dyDescent="0.25">
      <c r="A18">
        <v>13</v>
      </c>
      <c r="B18" s="8" t="s">
        <v>189</v>
      </c>
      <c r="C18" s="12" t="str">
        <f>IFERROR(VLOOKUP(B18,concorrenti!A:C,3,0)," ")</f>
        <v>C</v>
      </c>
      <c r="D18" s="12">
        <f>VLOOKUP(B18,concorrenti!A:E,5,0)</f>
        <v>0</v>
      </c>
      <c r="E18" s="12">
        <f>VLOOKUP(B18,concorrenti!A:G,7,0)</f>
        <v>0</v>
      </c>
      <c r="F18" s="12" t="str">
        <f>VLOOKUP(B18,concorrenti!A$1:G$289,2,0)</f>
        <v>CASTELLOTTI</v>
      </c>
      <c r="G18" s="47">
        <f>IFERROR(VLOOKUP(B18,'Nora Sciplino'!A$12:P$68,16,0),0)</f>
        <v>0</v>
      </c>
      <c r="H18" s="47">
        <f>IFERROR(VLOOKUP(B18,Castellotti!A$12:P$66,16,0),0)</f>
        <v>65.834999999999994</v>
      </c>
      <c r="I18" s="75">
        <f>IFERROR(VLOOKUP(B18,Solidarietà!A:P,16,0),0)</f>
        <v>0</v>
      </c>
      <c r="J18" s="104">
        <f>SUM(G18:I18)/3*J$5</f>
        <v>17.301437999999997</v>
      </c>
      <c r="K18" s="57">
        <f>IFERROR(VLOOKUP(B18,'Giro del Lario'!A:P,16,0),0)</f>
        <v>0</v>
      </c>
      <c r="L18" s="47">
        <f>IFERROR(VLOOKUP(B18,'Campo dei Fiori'!A:P,16,0),0)</f>
        <v>101.3472</v>
      </c>
      <c r="M18" s="47">
        <f>IFERROR(VLOOKUP(B18,'Erba Ghisallo'!A:P,16,0),0)</f>
        <v>72.912000000000006</v>
      </c>
      <c r="N18" s="47">
        <f>IFERROR(VLOOKUP(B18,Ambrosiano!A:Q,16,0),0)</f>
        <v>46.415600000000005</v>
      </c>
      <c r="O18" s="47">
        <f>IFERROR(VLOOKUP(B18,Presolana!A:Q,16,0),0)</f>
        <v>71.144999999999996</v>
      </c>
      <c r="P18" s="4"/>
      <c r="Q18" s="60">
        <f t="shared" si="4"/>
        <v>374.95623799999993</v>
      </c>
      <c r="S18" s="56">
        <f>COUNTIF(G18:O18,"&lt;&gt;0")-1</f>
        <v>5</v>
      </c>
      <c r="T18" s="57">
        <f>VLOOKUP(S18,Regolamento!G$6:I$14,3,0)</f>
        <v>1.2</v>
      </c>
      <c r="V18" s="60">
        <f t="shared" si="3"/>
        <v>449.94748559999988</v>
      </c>
      <c r="X18" s="2"/>
    </row>
    <row r="19" spans="1:26" x14ac:dyDescent="0.25">
      <c r="A19">
        <v>14</v>
      </c>
      <c r="B19" s="8" t="s">
        <v>222</v>
      </c>
      <c r="C19" s="12" t="str">
        <f>IFERROR(VLOOKUP(B19,concorrenti!A:C,3,0)," ")</f>
        <v>A</v>
      </c>
      <c r="D19" s="12">
        <f>VLOOKUP(B19,concorrenti!A:E,5,0)</f>
        <v>0</v>
      </c>
      <c r="E19" s="12">
        <f>VLOOKUP(B19,concorrenti!A:G,7,0)</f>
        <v>0</v>
      </c>
      <c r="F19" s="12" t="str">
        <f>VLOOKUP(B19,concorrenti!A$1:G$289,2,0)</f>
        <v>VCC COMO</v>
      </c>
      <c r="G19" s="47">
        <f>IFERROR(VLOOKUP(B19,'Nora Sciplino'!A$12:P$68,16,0),0)</f>
        <v>0</v>
      </c>
      <c r="H19" s="121">
        <f>IFERROR(VLOOKUP(B19,Castellotti!A$12:P$66,16,0),0)</f>
        <v>156.75</v>
      </c>
      <c r="I19" s="75">
        <f>IFERROR(VLOOKUP(B19,Solidarietà!A:P,16,0),0)</f>
        <v>0</v>
      </c>
      <c r="J19" s="104">
        <f>SUM(G19:I19)/3*J$5</f>
        <v>41.193899999999999</v>
      </c>
      <c r="K19" s="57">
        <f>IFERROR(VLOOKUP(B19,'Giro del Lario'!A:P,16,0),0)</f>
        <v>0</v>
      </c>
      <c r="L19" s="47">
        <f>IFERROR(VLOOKUP(B19,'Campo dei Fiori'!A:P,16,0),0)</f>
        <v>0</v>
      </c>
      <c r="M19" s="47">
        <f>IFERROR(VLOOKUP(B19,'Erba Ghisallo'!A:P,16,0),0)</f>
        <v>117.60000000000001</v>
      </c>
      <c r="N19" s="47">
        <f>IFERROR(VLOOKUP(B19,Ambrosiano!A:Q,16,0),0)</f>
        <v>75.952799999999996</v>
      </c>
      <c r="O19" s="47">
        <f>IFERROR(VLOOKUP(B19,Presolana!A:Q,16,0),0)</f>
        <v>0</v>
      </c>
      <c r="Q19" s="60">
        <f t="shared" si="4"/>
        <v>391.49670000000003</v>
      </c>
      <c r="S19" s="56">
        <f>COUNTIF(G19:O19,"&lt;&gt;0")-1</f>
        <v>3</v>
      </c>
      <c r="T19" s="57">
        <f>VLOOKUP(S19,Regolamento!G$6:I$14,3,0)</f>
        <v>1.1000000000000001</v>
      </c>
      <c r="V19" s="60">
        <f t="shared" si="3"/>
        <v>430.64637000000005</v>
      </c>
      <c r="X19" s="2"/>
      <c r="Z19" s="119"/>
    </row>
    <row r="20" spans="1:26" x14ac:dyDescent="0.25">
      <c r="A20">
        <v>15</v>
      </c>
      <c r="B20" s="8" t="s">
        <v>75</v>
      </c>
      <c r="C20" s="12" t="str">
        <f>IFERROR(VLOOKUP(B20,concorrenti!A:C,3,0)," ")</f>
        <v>B</v>
      </c>
      <c r="D20" s="12">
        <f>VLOOKUP(B20,concorrenti!A:E,5,0)</f>
        <v>0</v>
      </c>
      <c r="E20" s="12">
        <f>VLOOKUP(B20,concorrenti!A:G,7,0)</f>
        <v>0</v>
      </c>
      <c r="F20" s="12" t="str">
        <f>VLOOKUP(B20,concorrenti!A$1:G$289,2,0)</f>
        <v>VAMS</v>
      </c>
      <c r="G20" s="47">
        <f>IFERROR(VLOOKUP(B20,'Nora Sciplino'!A$12:P$68,16,0),0)</f>
        <v>68.887500000000003</v>
      </c>
      <c r="H20" s="47">
        <f>IFERROR(VLOOKUP(B20,Castellotti!A$12:P$66,16,0),0)</f>
        <v>59.564999999999991</v>
      </c>
      <c r="I20" s="75">
        <f>IFERROR(VLOOKUP(B20,Solidarietà!A:P,16,0),0)</f>
        <v>0</v>
      </c>
      <c r="J20" s="47">
        <f>IFERROR(VLOOKUP(B20,Gallarate!A:P,16,0),0)</f>
        <v>67.79079999999999</v>
      </c>
      <c r="K20" s="57">
        <f>IFERROR(VLOOKUP(B20,'Giro del Lario'!A:P,16,0),0)</f>
        <v>0</v>
      </c>
      <c r="L20" s="47">
        <f>IFERROR(VLOOKUP(B20,'Campo dei Fiori'!A:P,16,0),0)</f>
        <v>106.97759999999998</v>
      </c>
      <c r="M20" s="47">
        <f>IFERROR(VLOOKUP(B20,'Erba Ghisallo'!A:P,16,0),0)</f>
        <v>0</v>
      </c>
      <c r="N20" s="47">
        <f>IFERROR(VLOOKUP(B20,Ambrosiano!A:Q,16,0),0)</f>
        <v>52.745000000000005</v>
      </c>
      <c r="O20" s="47">
        <f>IFERROR(VLOOKUP(B20,Presolana!A:Q,16,0),0)</f>
        <v>0</v>
      </c>
      <c r="P20" s="4"/>
      <c r="Q20" s="60">
        <f t="shared" si="4"/>
        <v>355.96589999999998</v>
      </c>
      <c r="S20" s="56">
        <f>COUNTIF(G20:O20,"&lt;&gt;0")</f>
        <v>5</v>
      </c>
      <c r="T20" s="57">
        <f>VLOOKUP(S20,Regolamento!G$6:I$14,3,0)</f>
        <v>1.2</v>
      </c>
      <c r="V20" s="60">
        <f t="shared" si="3"/>
        <v>427.15907999999996</v>
      </c>
      <c r="X20" s="2"/>
    </row>
    <row r="21" spans="1:26" x14ac:dyDescent="0.25">
      <c r="A21">
        <v>16</v>
      </c>
      <c r="B21" s="8" t="s">
        <v>31</v>
      </c>
      <c r="C21" s="12" t="str">
        <f>IFERROR(VLOOKUP(B21,concorrenti!A:C,3,0)," ")</f>
        <v>B</v>
      </c>
      <c r="D21" s="12">
        <f>VLOOKUP(B21,concorrenti!A:E,5,0)</f>
        <v>0</v>
      </c>
      <c r="E21" s="12">
        <f>VLOOKUP(B21,concorrenti!A:G,7,0)</f>
        <v>0</v>
      </c>
      <c r="F21" s="12" t="str">
        <f>VLOOKUP(B21,concorrenti!A$1:G$289,2,0)</f>
        <v>OROBICO</v>
      </c>
      <c r="G21" s="47">
        <f>IFERROR(VLOOKUP(B21,'Nora Sciplino'!A$12:P$68,16,0),0)</f>
        <v>41.332499999999996</v>
      </c>
      <c r="H21" s="47">
        <f>IFERROR(VLOOKUP(B21,Castellotti!A$12:P$66,16,0),0)</f>
        <v>0</v>
      </c>
      <c r="I21" s="75">
        <f>IFERROR(VLOOKUP(B21,Solidarietà!A:P,16,0),0)</f>
        <v>0</v>
      </c>
      <c r="J21" s="47">
        <f>IFERROR(VLOOKUP(B21,Gallarate!A:P,16,0),0)</f>
        <v>63.417200000000001</v>
      </c>
      <c r="K21" s="57">
        <f>IFERROR(VLOOKUP(B21,'Giro del Lario'!A:P,16,0),0)</f>
        <v>70</v>
      </c>
      <c r="L21" s="47">
        <f>IFERROR(VLOOKUP(B21,'Campo dei Fiori'!A:P,16,0),0)</f>
        <v>76.01039999999999</v>
      </c>
      <c r="M21" s="47">
        <f>IFERROR(VLOOKUP(B21,'Erba Ghisallo'!A:P,16,0),0)</f>
        <v>32.927999999999997</v>
      </c>
      <c r="N21" s="47">
        <f>IFERROR(VLOOKUP(B21,Ambrosiano!A:Q,16,0),0)</f>
        <v>48.525400000000005</v>
      </c>
      <c r="O21" s="47">
        <f>IFERROR(VLOOKUP(B21,Presolana!A:Q,16,0),0)</f>
        <v>0</v>
      </c>
      <c r="Q21" s="60">
        <f t="shared" si="4"/>
        <v>332.21349999999995</v>
      </c>
      <c r="S21" s="56">
        <f>COUNTIF(G21:O21,"&lt;&gt;0")</f>
        <v>6</v>
      </c>
      <c r="T21" s="57">
        <f>VLOOKUP(S21,Regolamento!G$6:I$14,3,0)</f>
        <v>1.25</v>
      </c>
      <c r="V21" s="60">
        <f t="shared" si="3"/>
        <v>415.26687499999991</v>
      </c>
      <c r="X21" s="2"/>
      <c r="Z21" s="119"/>
    </row>
    <row r="22" spans="1:26" x14ac:dyDescent="0.25">
      <c r="A22">
        <v>17</v>
      </c>
      <c r="B22" s="8" t="s">
        <v>73</v>
      </c>
      <c r="C22" s="12" t="str">
        <f>IFERROR(VLOOKUP(B22,concorrenti!A:C,3,0)," ")</f>
        <v>A</v>
      </c>
      <c r="D22" s="12">
        <f>VLOOKUP(B22,concorrenti!A:E,5,0)</f>
        <v>0</v>
      </c>
      <c r="E22" s="12">
        <f>VLOOKUP(B22,concorrenti!A:G,7,0)</f>
        <v>0</v>
      </c>
      <c r="F22" s="12" t="str">
        <f>VLOOKUP(B22,concorrenti!A$1:G$289,2,0)</f>
        <v>VAMS</v>
      </c>
      <c r="G22" s="47">
        <f>IFERROR(VLOOKUP(B22,'Nora Sciplino'!A$12:P$68,16,0),0)</f>
        <v>77.153999999999996</v>
      </c>
      <c r="H22" s="47">
        <f>IFERROR(VLOOKUP(B22,Castellotti!A$12:P$66,16,0),0)</f>
        <v>0</v>
      </c>
      <c r="I22" s="75">
        <f>IFERROR(VLOOKUP(B22,Solidarietà!A:P,16,0),0)</f>
        <v>0</v>
      </c>
      <c r="J22" s="47">
        <f>IFERROR(VLOOKUP(B22,Gallarate!A:P,16,0),0)</f>
        <v>98.406000000000006</v>
      </c>
      <c r="K22" s="57">
        <f>IFERROR(VLOOKUP(B22,'Giro del Lario'!A:P,16,0),0)</f>
        <v>72.1875</v>
      </c>
      <c r="L22" s="47">
        <f>IFERROR(VLOOKUP(B22,'Campo dei Fiori'!A:P,16,0),0)</f>
        <v>92.901600000000002</v>
      </c>
      <c r="M22" s="47">
        <f>IFERROR(VLOOKUP(B22,'Erba Ghisallo'!A:P,16,0),0)</f>
        <v>0</v>
      </c>
      <c r="N22" s="47">
        <f>IFERROR(VLOOKUP(B22,Ambrosiano!A:Q,16,0),0)</f>
        <v>0</v>
      </c>
      <c r="O22" s="47">
        <f>IFERROR(VLOOKUP(B22,Presolana!A:Q,16,0),0)</f>
        <v>0</v>
      </c>
      <c r="P22" s="4"/>
      <c r="Q22" s="60">
        <f t="shared" si="4"/>
        <v>340.64909999999998</v>
      </c>
      <c r="S22" s="56">
        <f>COUNTIF(G22:O22,"&lt;&gt;0")</f>
        <v>4</v>
      </c>
      <c r="T22" s="57">
        <f>VLOOKUP(S22,Regolamento!G$6:I$14,3,0)</f>
        <v>1.1499999999999999</v>
      </c>
      <c r="V22" s="60">
        <f t="shared" si="3"/>
        <v>391.74646499999994</v>
      </c>
      <c r="X22" s="2"/>
    </row>
    <row r="23" spans="1:26" x14ac:dyDescent="0.25">
      <c r="A23">
        <v>18</v>
      </c>
      <c r="B23" s="8" t="s">
        <v>224</v>
      </c>
      <c r="C23" s="12" t="str">
        <f>IFERROR(VLOOKUP(B23,concorrenti!A:C,3,0)," ")</f>
        <v>A</v>
      </c>
      <c r="D23" s="12">
        <f>VLOOKUP(B23,concorrenti!A:E,5,0)</f>
        <v>0</v>
      </c>
      <c r="E23" s="12">
        <f>VLOOKUP(B23,concorrenti!A:G,7,0)</f>
        <v>0</v>
      </c>
      <c r="F23" s="12" t="str">
        <f>VLOOKUP(B23,concorrenti!A$1:G$289,2,0)</f>
        <v>VCC COMO</v>
      </c>
      <c r="G23" s="47">
        <f>IFERROR(VLOOKUP(B23,'Nora Sciplino'!A$12:P$68,16,0),0)</f>
        <v>0</v>
      </c>
      <c r="H23" s="47">
        <f>IFERROR(VLOOKUP(B23,Castellotti!A$12:P$66,16,0),0)</f>
        <v>94.05</v>
      </c>
      <c r="I23" s="75">
        <f>IFERROR(VLOOKUP(B23,Solidarietà!A:P,16,0),0)</f>
        <v>0</v>
      </c>
      <c r="J23" s="104">
        <f>SUM(G23:I23)/3*J$5</f>
        <v>24.716339999999999</v>
      </c>
      <c r="K23" s="57">
        <f>IFERROR(VLOOKUP(B23,'Giro del Lario'!A:P,16,0),0)</f>
        <v>74.375</v>
      </c>
      <c r="L23" s="47">
        <f>IFERROR(VLOOKUP(B23,'Campo dei Fiori'!A:P,16,0),0)</f>
        <v>0</v>
      </c>
      <c r="M23" s="47">
        <f>IFERROR(VLOOKUP(B23,'Erba Ghisallo'!A:P,16,0),0)</f>
        <v>79.968000000000004</v>
      </c>
      <c r="N23" s="47">
        <f>IFERROR(VLOOKUP(B23,Ambrosiano!A:Q,16,0),0)</f>
        <v>67.513600000000011</v>
      </c>
      <c r="O23" s="47">
        <f>IFERROR(VLOOKUP(B23,Presolana!A:Q,16,0),0)</f>
        <v>0</v>
      </c>
      <c r="Q23" s="60">
        <f t="shared" si="4"/>
        <v>340.62294000000003</v>
      </c>
      <c r="S23" s="56">
        <f>COUNTIF(G23:O23,"&lt;&gt;0")-1</f>
        <v>4</v>
      </c>
      <c r="T23" s="57">
        <f>VLOOKUP(S23,Regolamento!G$6:I$14,3,0)</f>
        <v>1.1499999999999999</v>
      </c>
      <c r="V23" s="60">
        <f t="shared" si="3"/>
        <v>391.71638100000001</v>
      </c>
      <c r="Y23"/>
    </row>
    <row r="24" spans="1:26" x14ac:dyDescent="0.25">
      <c r="A24">
        <v>19</v>
      </c>
      <c r="B24" s="8" t="s">
        <v>74</v>
      </c>
      <c r="C24" s="12" t="str">
        <f>IFERROR(VLOOKUP(B24,concorrenti!A:C,3,0)," ")</f>
        <v>A</v>
      </c>
      <c r="D24" s="12">
        <f>VLOOKUP(B24,concorrenti!A:E,5,0)</f>
        <v>0</v>
      </c>
      <c r="E24" s="12">
        <f>VLOOKUP(B24,concorrenti!A:G,7,0)</f>
        <v>0</v>
      </c>
      <c r="F24" s="12" t="str">
        <f>VLOOKUP(B24,concorrenti!A$1:G$289,2,0)</f>
        <v>CASTELLOTTI</v>
      </c>
      <c r="G24" s="47">
        <f>IFERROR(VLOOKUP(B24,'Nora Sciplino'!A$12:P$68,16,0),0)</f>
        <v>74.398499999999999</v>
      </c>
      <c r="H24" s="47">
        <f>IFERROR(VLOOKUP(B24,Castellotti!A$12:P$66,16,0),0)</f>
        <v>78.375</v>
      </c>
      <c r="I24" s="75">
        <f>IFERROR(VLOOKUP(B24,Solidarietà!A:P,16,0),0)</f>
        <v>17.016999999999999</v>
      </c>
      <c r="J24" s="104">
        <f>SUM(G24:I24)/3*J$5</f>
        <v>44.620943400000002</v>
      </c>
      <c r="K24" s="57">
        <f>IFERROR(VLOOKUP(B24,'Giro del Lario'!A:P,16,0),0)</f>
        <v>0</v>
      </c>
      <c r="L24" s="47">
        <f>IFERROR(VLOOKUP(B24,'Campo dei Fiori'!A:P,16,0),0)</f>
        <v>0</v>
      </c>
      <c r="M24" s="47">
        <f>IFERROR(VLOOKUP(B24,'Erba Ghisallo'!A:P,16,0),0)</f>
        <v>56.448000000000008</v>
      </c>
      <c r="N24" s="47">
        <f>IFERROR(VLOOKUP(B24,Ambrosiano!A:Q,16,0),0)</f>
        <v>0</v>
      </c>
      <c r="O24" s="47">
        <f>IFERROR(VLOOKUP(B24,Presolana!A:Q,16,0),0)</f>
        <v>50.064999999999998</v>
      </c>
      <c r="P24" s="4"/>
      <c r="Q24" s="60">
        <f t="shared" si="4"/>
        <v>320.92444340000003</v>
      </c>
      <c r="S24" s="56">
        <f>COUNTIF(G24:O24,"&lt;&gt;0")-1</f>
        <v>5</v>
      </c>
      <c r="T24" s="57">
        <f>VLOOKUP(S24,Regolamento!G$6:I$14,3,0)</f>
        <v>1.2</v>
      </c>
      <c r="V24" s="60">
        <f t="shared" si="3"/>
        <v>385.10933208</v>
      </c>
      <c r="X24" s="10"/>
      <c r="Z24" s="119"/>
    </row>
    <row r="25" spans="1:26" x14ac:dyDescent="0.25">
      <c r="A25">
        <v>20</v>
      </c>
      <c r="B25" s="8" t="s">
        <v>29</v>
      </c>
      <c r="C25" s="12" t="str">
        <f>IFERROR(VLOOKUP(B25,concorrenti!A:C,3,0)," ")</f>
        <v>A</v>
      </c>
      <c r="D25" s="12">
        <f>VLOOKUP(B25,concorrenti!A:E,5,0)</f>
        <v>0</v>
      </c>
      <c r="E25" s="12">
        <f>VLOOKUP(B25,concorrenti!A:G,7,0)</f>
        <v>0</v>
      </c>
      <c r="F25" s="12" t="str">
        <f>VLOOKUP(B25,concorrenti!A$1:G$289,2,0)</f>
        <v>OROBICO</v>
      </c>
      <c r="G25" s="47">
        <f>IFERROR(VLOOKUP(B25,'Nora Sciplino'!A$12:P$68,16,0),0)</f>
        <v>79.909499999999994</v>
      </c>
      <c r="H25" s="47">
        <f>IFERROR(VLOOKUP(B25,Castellotti!A$12:P$66,16,0),0)</f>
        <v>0</v>
      </c>
      <c r="I25" s="75">
        <f>IFERROR(VLOOKUP(B25,Solidarietà!A:P,16,0),0)</f>
        <v>63.205999999999989</v>
      </c>
      <c r="J25" s="47">
        <f>IFERROR(VLOOKUP(B25,Gallarate!A:P,16,0),0)</f>
        <v>56.856800000000007</v>
      </c>
      <c r="K25" s="57">
        <f>IFERROR(VLOOKUP(B25,'Giro del Lario'!A:P,16,0),0)</f>
        <v>0</v>
      </c>
      <c r="L25" s="47">
        <f>IFERROR(VLOOKUP(B25,'Campo dei Fiori'!A:P,16,0),0)</f>
        <v>0</v>
      </c>
      <c r="M25" s="47">
        <f>IFERROR(VLOOKUP(B25,'Erba Ghisallo'!A:P,16,0),0)</f>
        <v>54.096000000000004</v>
      </c>
      <c r="N25" s="47">
        <f>IFERROR(VLOOKUP(B25,Ambrosiano!A:Q,16,0),0)</f>
        <v>0</v>
      </c>
      <c r="O25" s="47">
        <f>IFERROR(VLOOKUP(B25,Presolana!A:Q,16,0),0)</f>
        <v>55.334999999999994</v>
      </c>
      <c r="Q25" s="60">
        <f t="shared" si="4"/>
        <v>309.4033</v>
      </c>
      <c r="S25" s="56">
        <f>COUNTIF(G25:O25,"&lt;&gt;0")</f>
        <v>5</v>
      </c>
      <c r="T25" s="57">
        <f>VLOOKUP(S25,Regolamento!G$6:I$14,3,0)</f>
        <v>1.2</v>
      </c>
      <c r="V25" s="60">
        <f t="shared" si="3"/>
        <v>371.28395999999998</v>
      </c>
      <c r="Y25"/>
    </row>
    <row r="26" spans="1:26" x14ac:dyDescent="0.25">
      <c r="A26">
        <v>21</v>
      </c>
      <c r="B26" s="8" t="s">
        <v>314</v>
      </c>
      <c r="C26" s="12" t="str">
        <f>IFERROR(VLOOKUP(B26,concorrenti!A:C,3,0)," ")</f>
        <v>B</v>
      </c>
      <c r="D26" s="12">
        <f>VLOOKUP(B26,concorrenti!A:E,5,0)</f>
        <v>0</v>
      </c>
      <c r="E26" s="12">
        <f>VLOOKUP(B26,concorrenti!A:G,7,0)</f>
        <v>0</v>
      </c>
      <c r="F26" s="12" t="str">
        <f>VLOOKUP(B26,concorrenti!A$1:G$289,2,0)</f>
        <v>OROBICO</v>
      </c>
      <c r="G26" s="47">
        <f>IFERROR(VLOOKUP(B26,'Nora Sciplino'!A$12:P$68,16,0),0)</f>
        <v>0</v>
      </c>
      <c r="H26" s="47">
        <f>IFERROR(VLOOKUP(B26,Castellotti!A$12:P$66,16,0),0)</f>
        <v>0</v>
      </c>
      <c r="I26" s="75">
        <f>IFERROR(VLOOKUP(B26,Solidarietà!A:P,16,0),0)</f>
        <v>51.050999999999995</v>
      </c>
      <c r="J26" s="104">
        <f>SUM(G26:I26)/3*J$5</f>
        <v>13.416202799999999</v>
      </c>
      <c r="K26" s="57">
        <f>IFERROR(VLOOKUP(B26,'Giro del Lario'!A:P,16,0),0)</f>
        <v>0</v>
      </c>
      <c r="L26" s="47">
        <f>IFERROR(VLOOKUP(B26,'Campo dei Fiori'!A:P,16,0),0)</f>
        <v>81.640799999999999</v>
      </c>
      <c r="M26" s="47">
        <f>IFERROR(VLOOKUP(B26,'Erba Ghisallo'!A:P,16,0),0)</f>
        <v>44.688000000000002</v>
      </c>
      <c r="N26" s="47">
        <f>IFERROR(VLOOKUP(B26,Ambrosiano!A:Q,16,0),0)</f>
        <v>50.635200000000005</v>
      </c>
      <c r="O26" s="47">
        <f>IFERROR(VLOOKUP(B26,Presolana!A:Q,16,0),0)</f>
        <v>52.7</v>
      </c>
      <c r="P26" s="4"/>
      <c r="Q26" s="60">
        <f t="shared" si="4"/>
        <v>294.13120279999998</v>
      </c>
      <c r="S26" s="56">
        <f>COUNTIF(G26:O26,"&lt;&gt;0")-1</f>
        <v>5</v>
      </c>
      <c r="T26" s="57">
        <f>VLOOKUP(S26,Regolamento!G$6:I$14,3,0)</f>
        <v>1.2</v>
      </c>
      <c r="V26" s="60">
        <f t="shared" si="3"/>
        <v>352.95744335999996</v>
      </c>
      <c r="X26" s="10"/>
      <c r="Z26" s="119"/>
    </row>
    <row r="27" spans="1:26" x14ac:dyDescent="0.25">
      <c r="A27">
        <v>22</v>
      </c>
      <c r="B27" s="8" t="s">
        <v>398</v>
      </c>
      <c r="C27" s="12" t="str">
        <f>IFERROR(VLOOKUP(B27,concorrenti!A:C,3,0)," ")</f>
        <v>A</v>
      </c>
      <c r="D27" s="12">
        <f>VLOOKUP(B27,concorrenti!A:E,5,0)</f>
        <v>0</v>
      </c>
      <c r="E27" s="12">
        <f>VLOOKUP(B27,concorrenti!A:G,7,0)</f>
        <v>0</v>
      </c>
      <c r="F27" s="12" t="str">
        <f>VLOOKUP(B27,concorrenti!A$1:G$289,2,0)</f>
        <v>GAMS</v>
      </c>
      <c r="G27" s="47">
        <f>IFERROR(VLOOKUP(B27,'Nora Sciplino'!A$12:P$68,16,0),0)</f>
        <v>0</v>
      </c>
      <c r="H27" s="47">
        <f>IFERROR(VLOOKUP(B27,Castellotti!A$12:P$66,16,0),0)</f>
        <v>119.12999999999998</v>
      </c>
      <c r="I27" s="122">
        <f>IFERROR(VLOOKUP(B27,Solidarietà!A:P,16,0),0)</f>
        <v>109.395</v>
      </c>
      <c r="J27" s="47">
        <f>IFERROR(VLOOKUP(B27,Gallarate!A:P,16,0),0)</f>
        <v>89.658799999999999</v>
      </c>
      <c r="K27" s="57">
        <f>IFERROR(VLOOKUP(B27,'Giro del Lario'!A:P,16,0),0)</f>
        <v>0</v>
      </c>
      <c r="L27" s="47">
        <f>IFERROR(VLOOKUP(B27,'Campo dei Fiori'!A:P,16,0),0)</f>
        <v>0</v>
      </c>
      <c r="M27" s="47">
        <f>IFERROR(VLOOKUP(B27,'Erba Ghisallo'!A:P,16,0),0)</f>
        <v>0</v>
      </c>
      <c r="N27" s="47">
        <f>IFERROR(VLOOKUP(B27,Ambrosiano!A:Q,16,0),0)</f>
        <v>0</v>
      </c>
      <c r="O27" s="47">
        <f>IFERROR(VLOOKUP(B27,Presolana!A:Q,16,0),0)</f>
        <v>0</v>
      </c>
      <c r="P27" s="4"/>
      <c r="Q27" s="60">
        <f t="shared" si="4"/>
        <v>318.18379999999996</v>
      </c>
      <c r="S27" s="56">
        <f>COUNTIF(G27:O27,"&lt;&gt;0")</f>
        <v>3</v>
      </c>
      <c r="T27" s="57">
        <f>VLOOKUP(S27,Regolamento!G$6:I$14,3,0)</f>
        <v>1.1000000000000001</v>
      </c>
      <c r="V27" s="60">
        <f t="shared" si="3"/>
        <v>350.00218000000001</v>
      </c>
      <c r="X27" s="10"/>
      <c r="Z27" s="119"/>
    </row>
    <row r="28" spans="1:26" x14ac:dyDescent="0.25">
      <c r="A28">
        <v>23</v>
      </c>
      <c r="B28" s="8" t="s">
        <v>28</v>
      </c>
      <c r="C28" s="12" t="str">
        <f>IFERROR(VLOOKUP(B28,concorrenti!A:C,3,0)," ")</f>
        <v>B</v>
      </c>
      <c r="D28" s="12">
        <f>VLOOKUP(B28,concorrenti!A:E,5,0)</f>
        <v>0</v>
      </c>
      <c r="E28" s="12">
        <f>VLOOKUP(B28,concorrenti!A:G,7,0)</f>
        <v>0</v>
      </c>
      <c r="F28" s="12" t="str">
        <f>VLOOKUP(B28,concorrenti!A$1:G$289,2,0)</f>
        <v>VAMS</v>
      </c>
      <c r="G28" s="47">
        <f>IFERROR(VLOOKUP(B28,'Nora Sciplino'!A$12:P$68,16,0),0)</f>
        <v>60.620999999999995</v>
      </c>
      <c r="H28" s="47">
        <f>IFERROR(VLOOKUP(B28,Castellotti!A$12:P$66,16,0),0)</f>
        <v>0</v>
      </c>
      <c r="I28" s="75">
        <f>IFERROR(VLOOKUP(B28,Solidarietà!A:P,16,0),0)</f>
        <v>0</v>
      </c>
      <c r="J28" s="47">
        <f>IFERROR(VLOOKUP(B28,Gallarate!A:P,16,0),0)</f>
        <v>72.164400000000001</v>
      </c>
      <c r="K28" s="57">
        <f>IFERROR(VLOOKUP(B28,'Giro del Lario'!A:P,16,0),0)</f>
        <v>0</v>
      </c>
      <c r="L28" s="47">
        <f>IFERROR(VLOOKUP(B28,'Campo dei Fiori'!A:P,16,0),0)</f>
        <v>0</v>
      </c>
      <c r="M28" s="47">
        <f>IFERROR(VLOOKUP(B28,'Erba Ghisallo'!A:P,16,0),0)</f>
        <v>58.800000000000004</v>
      </c>
      <c r="N28" s="47">
        <f>IFERROR(VLOOKUP(B28,Ambrosiano!A:Q,16,0),0)</f>
        <v>54.854800000000004</v>
      </c>
      <c r="O28" s="47">
        <f>IFERROR(VLOOKUP(B28,Presolana!A:Q,16,0),0)</f>
        <v>44.795000000000002</v>
      </c>
      <c r="Q28" s="60">
        <f t="shared" si="4"/>
        <v>291.23520000000002</v>
      </c>
      <c r="S28" s="56">
        <f>COUNTIF(G28:O28,"&lt;&gt;0")</f>
        <v>5</v>
      </c>
      <c r="T28" s="57">
        <f>VLOOKUP(S28,Regolamento!G$6:I$14,3,0)</f>
        <v>1.2</v>
      </c>
      <c r="V28" s="60">
        <f t="shared" si="3"/>
        <v>349.48223999999999</v>
      </c>
      <c r="X28" s="63"/>
      <c r="Y28"/>
    </row>
    <row r="29" spans="1:26" x14ac:dyDescent="0.25">
      <c r="A29">
        <v>24</v>
      </c>
      <c r="B29" s="8" t="s">
        <v>218</v>
      </c>
      <c r="C29" s="12" t="str">
        <f>IFERROR(VLOOKUP(B29,concorrenti!A:C,3,0)," ")</f>
        <v>A</v>
      </c>
      <c r="D29" s="12">
        <f>VLOOKUP(B29,concorrenti!A:E,5,0)</f>
        <v>0</v>
      </c>
      <c r="E29" s="12">
        <f>VLOOKUP(B29,concorrenti!A:G,7,0)</f>
        <v>0</v>
      </c>
      <c r="F29" s="12" t="str">
        <f>VLOOKUP(B29,concorrenti!A$1:G$289,2,0)</f>
        <v>OROBICO</v>
      </c>
      <c r="G29" s="47">
        <f>IFERROR(VLOOKUP(B29,'Nora Sciplino'!A$12:P$68,16,0),0)</f>
        <v>0</v>
      </c>
      <c r="H29" s="47">
        <f>IFERROR(VLOOKUP(B29,Castellotti!A$12:P$66,16,0),0)</f>
        <v>62.699999999999996</v>
      </c>
      <c r="I29" s="75">
        <f>IFERROR(VLOOKUP(B29,Solidarietà!A:P,16,0),0)</f>
        <v>72.929999999999993</v>
      </c>
      <c r="J29" s="104">
        <f>SUM(G29:I29)/3*J$5</f>
        <v>35.643563999999998</v>
      </c>
      <c r="K29" s="57">
        <f>IFERROR(VLOOKUP(B29,'Giro del Lario'!A:P,16,0),0)</f>
        <v>0</v>
      </c>
      <c r="L29" s="47">
        <f>IFERROR(VLOOKUP(B29,'Campo dei Fiori'!A:P,16,0),0)</f>
        <v>0</v>
      </c>
      <c r="M29" s="47">
        <f>IFERROR(VLOOKUP(B29,'Erba Ghisallo'!A:P,16,0),0)</f>
        <v>47.04</v>
      </c>
      <c r="N29" s="47">
        <f>IFERROR(VLOOKUP(B29,Ambrosiano!A:Q,16,0),0)</f>
        <v>0</v>
      </c>
      <c r="O29" s="47">
        <f>IFERROR(VLOOKUP(B29,Presolana!A:Q,16,0),0)</f>
        <v>57.97</v>
      </c>
      <c r="Q29" s="60">
        <f t="shared" si="4"/>
        <v>276.28356399999996</v>
      </c>
      <c r="S29" s="56">
        <f>COUNTIF(G29:O29,"&lt;&gt;0")-1</f>
        <v>4</v>
      </c>
      <c r="T29" s="57">
        <f>VLOOKUP(S29,Regolamento!G$6:I$14,3,0)</f>
        <v>1.1499999999999999</v>
      </c>
      <c r="V29" s="60">
        <f t="shared" si="3"/>
        <v>317.72609859999994</v>
      </c>
      <c r="Y29"/>
    </row>
    <row r="30" spans="1:26" x14ac:dyDescent="0.25">
      <c r="A30">
        <v>25</v>
      </c>
      <c r="B30" s="8" t="s">
        <v>22</v>
      </c>
      <c r="C30" s="12" t="str">
        <f>IFERROR(VLOOKUP(B30,concorrenti!A:C,3,0)," ")</f>
        <v>A</v>
      </c>
      <c r="D30" s="12">
        <f>VLOOKUP(B30,concorrenti!A:E,5,0)</f>
        <v>0</v>
      </c>
      <c r="E30" s="12">
        <f>VLOOKUP(B30,concorrenti!A:G,7,0)</f>
        <v>0</v>
      </c>
      <c r="F30" s="12" t="str">
        <f>VLOOKUP(B30,concorrenti!A$1:G$289,2,0)</f>
        <v>VAMS</v>
      </c>
      <c r="G30" s="47">
        <f>IFERROR(VLOOKUP(B30,'Nora Sciplino'!A$12:P$68,16,0),0)</f>
        <v>123.99749999999999</v>
      </c>
      <c r="H30" s="47">
        <f>IFERROR(VLOOKUP(B30,Castellotti!A$12:P$66,16,0),0)</f>
        <v>0</v>
      </c>
      <c r="I30" s="75">
        <f>IFERROR(VLOOKUP(B30,Solidarietà!A:P,16,0),0)</f>
        <v>0</v>
      </c>
      <c r="J30" s="104">
        <f>SUM(G30:I30)/3*J$5</f>
        <v>32.586542999999999</v>
      </c>
      <c r="K30" s="57">
        <f>IFERROR(VLOOKUP(B30,'Giro del Lario'!A:P,16,0),0)</f>
        <v>0</v>
      </c>
      <c r="L30" s="47">
        <f>IFERROR(VLOOKUP(B30,'Campo dei Fiori'!A:P,16,0),0)</f>
        <v>0</v>
      </c>
      <c r="M30" s="47">
        <f>IFERROR(VLOOKUP(B30,'Erba Ghisallo'!A:P,16,0),0)</f>
        <v>0</v>
      </c>
      <c r="N30" s="47">
        <f>IFERROR(VLOOKUP(B30,Ambrosiano!A:Q,16,0),0)</f>
        <v>0</v>
      </c>
      <c r="O30" s="47">
        <f>IFERROR(VLOOKUP(B30,Presolana!A:Q,16,0),0)</f>
        <v>131.75</v>
      </c>
      <c r="Q30" s="60">
        <f t="shared" si="4"/>
        <v>288.33404299999995</v>
      </c>
      <c r="S30" s="56">
        <f>COUNTIF(G30:O30,"&lt;&gt;0")-1</f>
        <v>2</v>
      </c>
      <c r="T30" s="57">
        <f>VLOOKUP(S30,Regolamento!G$6:I$14,3,0)</f>
        <v>1.05</v>
      </c>
      <c r="V30" s="60">
        <f t="shared" si="3"/>
        <v>302.75074514999994</v>
      </c>
      <c r="Y30"/>
    </row>
    <row r="31" spans="1:26" x14ac:dyDescent="0.25">
      <c r="A31">
        <v>26</v>
      </c>
      <c r="B31" s="8" t="s">
        <v>221</v>
      </c>
      <c r="C31" s="12" t="str">
        <f>IFERROR(VLOOKUP(B31,concorrenti!A:C,3,0)," ")</f>
        <v>B</v>
      </c>
      <c r="D31" s="12">
        <f>VLOOKUP(B31,concorrenti!A:E,5,0)</f>
        <v>0</v>
      </c>
      <c r="E31" s="12">
        <f>VLOOKUP(B31,concorrenti!A:G,7,0)</f>
        <v>0</v>
      </c>
      <c r="F31" s="12" t="str">
        <f>VLOOKUP(B31,concorrenti!A$1:G$289,2,0)</f>
        <v>VAMS</v>
      </c>
      <c r="G31" s="47">
        <f>IFERROR(VLOOKUP(B31,'Nora Sciplino'!A$12:P$68,16,0),0)</f>
        <v>0</v>
      </c>
      <c r="H31" s="47">
        <f>IFERROR(VLOOKUP(B31,Castellotti!A$12:P$66,16,0),0)</f>
        <v>1.5674999999999999</v>
      </c>
      <c r="I31" s="75">
        <f>IFERROR(VLOOKUP(B31,Solidarietà!A:P,16,0),0)</f>
        <v>0</v>
      </c>
      <c r="J31" s="47">
        <f>IFERROR(VLOOKUP(B31,Gallarate!A:P,16,0),0)</f>
        <v>59.043599999999998</v>
      </c>
      <c r="K31" s="57">
        <f>IFERROR(VLOOKUP(B31,'Giro del Lario'!A:P,16,0),0)</f>
        <v>0</v>
      </c>
      <c r="L31" s="47">
        <f>IFERROR(VLOOKUP(B31,'Campo dei Fiori'!A:P,16,0),0)</f>
        <v>87.271199999999993</v>
      </c>
      <c r="M31" s="47">
        <f>IFERROR(VLOOKUP(B31,'Erba Ghisallo'!A:P,16,0),0)</f>
        <v>51.744</v>
      </c>
      <c r="N31" s="47">
        <f>IFERROR(VLOOKUP(B31,Ambrosiano!A:Q,16,0),0)</f>
        <v>0</v>
      </c>
      <c r="O31" s="47">
        <f>IFERROR(VLOOKUP(B31,Presolana!A:Q,16,0),0)</f>
        <v>47.43</v>
      </c>
      <c r="P31" s="4"/>
      <c r="Q31" s="60">
        <f t="shared" si="4"/>
        <v>247.05629999999999</v>
      </c>
      <c r="S31" s="56">
        <f>COUNTIF(G31:O31,"&lt;&gt;0")</f>
        <v>5</v>
      </c>
      <c r="T31" s="57">
        <f>VLOOKUP(S31,Regolamento!G$6:I$14,3,0)</f>
        <v>1.2</v>
      </c>
      <c r="V31" s="60">
        <f t="shared" si="3"/>
        <v>296.46755999999999</v>
      </c>
      <c r="Y31"/>
    </row>
    <row r="32" spans="1:26" x14ac:dyDescent="0.25">
      <c r="A32">
        <v>27</v>
      </c>
      <c r="B32" s="8" t="s">
        <v>13</v>
      </c>
      <c r="C32" s="12" t="str">
        <f>IFERROR(VLOOKUP(B32,concorrenti!A:C,3,0)," ")</f>
        <v>A</v>
      </c>
      <c r="D32" s="12">
        <f>VLOOKUP(B32,concorrenti!A:E,5,0)</f>
        <v>0</v>
      </c>
      <c r="E32" s="12" t="str">
        <f>VLOOKUP(B32,concorrenti!A:G,7,0)</f>
        <v>MECCANICO</v>
      </c>
      <c r="F32" s="12" t="str">
        <f>VLOOKUP(B32,concorrenti!A$1:G$289,2,0)</f>
        <v>VAMS</v>
      </c>
      <c r="G32" s="47">
        <f>IFERROR(VLOOKUP(B32,'Nora Sciplino'!A$12:P$68,16,0),0)</f>
        <v>49.598999999999997</v>
      </c>
      <c r="H32" s="47">
        <f>IFERROR(VLOOKUP(B32,Castellotti!A$12:P$66,16,0),0)</f>
        <v>0</v>
      </c>
      <c r="I32" s="75">
        <f>IFERROR(VLOOKUP(B32,Solidarietà!A:P,16,0),0)</f>
        <v>0</v>
      </c>
      <c r="J32" s="47">
        <f>IFERROR(VLOOKUP(B32,Gallarate!A:P,16,0),0)</f>
        <v>65.603999999999999</v>
      </c>
      <c r="K32" s="57">
        <f>IFERROR(VLOOKUP(B32,'Giro del Lario'!A:P,16,0),0)</f>
        <v>0</v>
      </c>
      <c r="L32" s="47">
        <f>IFERROR(VLOOKUP(B32,'Campo dei Fiori'!A:P,16,0),0)</f>
        <v>73.1952</v>
      </c>
      <c r="M32" s="47">
        <f>IFERROR(VLOOKUP(B32,'Erba Ghisallo'!A:P,16,0),0)</f>
        <v>68.208000000000013</v>
      </c>
      <c r="N32" s="47">
        <f>IFERROR(VLOOKUP(B32,Ambrosiano!A:Q,16,0),0)</f>
        <v>0</v>
      </c>
      <c r="O32" s="47">
        <f>IFERROR(VLOOKUP(B32,Presolana!A:Q,16,0),0)</f>
        <v>0</v>
      </c>
      <c r="P32" s="4"/>
      <c r="Q32" s="60">
        <f t="shared" si="4"/>
        <v>256.6062</v>
      </c>
      <c r="S32" s="56">
        <f>COUNTIF(G32:O32,"&lt;&gt;0")</f>
        <v>4</v>
      </c>
      <c r="T32" s="57">
        <f>VLOOKUP(S32,Regolamento!G$6:I$14,3,0)</f>
        <v>1.1499999999999999</v>
      </c>
      <c r="V32" s="60">
        <f t="shared" si="3"/>
        <v>295.09712999999999</v>
      </c>
      <c r="X32" s="10"/>
      <c r="Z32" s="119"/>
    </row>
    <row r="33" spans="1:26" x14ac:dyDescent="0.25">
      <c r="A33">
        <v>28</v>
      </c>
      <c r="B33" s="8" t="s">
        <v>81</v>
      </c>
      <c r="C33" s="12" t="str">
        <f>IFERROR(VLOOKUP(B33,concorrenti!A:C,3,0)," ")</f>
        <v>C</v>
      </c>
      <c r="D33" s="12">
        <f>VLOOKUP(B33,concorrenti!A:E,5,0)</f>
        <v>0</v>
      </c>
      <c r="E33" s="12">
        <f>VLOOKUP(B33,concorrenti!A:G,7,0)</f>
        <v>0</v>
      </c>
      <c r="F33" s="12" t="str">
        <f>VLOOKUP(B33,concorrenti!A$1:G$289,2,0)</f>
        <v>CASTELLOTTI</v>
      </c>
      <c r="G33" s="47">
        <f>IFERROR(VLOOKUP(B33,'Nora Sciplino'!A$12:P$68,16,0),0)</f>
        <v>38.576999999999998</v>
      </c>
      <c r="H33" s="47">
        <f>IFERROR(VLOOKUP(B33,Castellotti!A$12:P$66,16,0),0)</f>
        <v>43.889999999999993</v>
      </c>
      <c r="I33" s="75">
        <f>IFERROR(VLOOKUP(B33,Solidarietà!A:P,16,0),0)</f>
        <v>55.912999999999997</v>
      </c>
      <c r="J33" s="104">
        <f t="shared" ref="J33:J38" si="5">SUM(G33:I33)/3*J$5</f>
        <v>36.366264000000001</v>
      </c>
      <c r="K33" s="57">
        <f>IFERROR(VLOOKUP(B33,'Giro del Lario'!A:P,16,0),0)</f>
        <v>0</v>
      </c>
      <c r="L33" s="47">
        <f>IFERROR(VLOOKUP(B33,'Campo dei Fiori'!A:P,16,0),0)</f>
        <v>0</v>
      </c>
      <c r="M33" s="47">
        <f>IFERROR(VLOOKUP(B33,'Erba Ghisallo'!A:P,16,0),0)</f>
        <v>0</v>
      </c>
      <c r="N33" s="47">
        <f>IFERROR(VLOOKUP(B33,Ambrosiano!A:Q,16,0),0)</f>
        <v>63.294000000000011</v>
      </c>
      <c r="O33" s="47">
        <f>IFERROR(VLOOKUP(B33,Presolana!A:Q,16,0),0)</f>
        <v>0</v>
      </c>
      <c r="Q33" s="60">
        <f t="shared" si="4"/>
        <v>238.04026400000001</v>
      </c>
      <c r="S33" s="56">
        <f t="shared" ref="S33:S38" si="6">COUNTIF(G33:O33,"&lt;&gt;0")-1</f>
        <v>4</v>
      </c>
      <c r="T33" s="57">
        <f>VLOOKUP(S33,Regolamento!G$6:I$14,3,0)</f>
        <v>1.1499999999999999</v>
      </c>
      <c r="V33" s="60">
        <f t="shared" si="3"/>
        <v>273.74630359999998</v>
      </c>
      <c r="X33" s="10"/>
      <c r="Z33" s="119"/>
    </row>
    <row r="34" spans="1:26" x14ac:dyDescent="0.25">
      <c r="A34">
        <v>29</v>
      </c>
      <c r="B34" s="107" t="s">
        <v>72</v>
      </c>
      <c r="C34" s="108" t="str">
        <f>IFERROR(VLOOKUP(B34,concorrenti!A:C,3,0)," ")</f>
        <v>A</v>
      </c>
      <c r="D34" s="108" t="str">
        <f>VLOOKUP(B34,concorrenti!A:E,5,0)</f>
        <v>X</v>
      </c>
      <c r="E34" s="108">
        <f>VLOOKUP(B34,concorrenti!A:G,7,0)</f>
        <v>0</v>
      </c>
      <c r="F34" s="108" t="str">
        <f>VLOOKUP(B34,concorrenti!A$1:G$289,2,0)</f>
        <v>VAMS</v>
      </c>
      <c r="G34" s="109">
        <f>IFERROR(VLOOKUP(B34,'Nora Sciplino'!A$12:P$68,16,0),0)</f>
        <v>88.175999999999988</v>
      </c>
      <c r="H34" s="109">
        <f>IFERROR(VLOOKUP(B34,Castellotti!A$12:P$66,16,0),0)</f>
        <v>0</v>
      </c>
      <c r="I34" s="110">
        <f>IFERROR(VLOOKUP(B34,Solidarietà!A:P,16,0),0)</f>
        <v>0</v>
      </c>
      <c r="J34" s="104">
        <f t="shared" si="5"/>
        <v>23.172652799999998</v>
      </c>
      <c r="K34" s="124">
        <f>IFERROR(VLOOKUP(B34,'Giro del Lario'!A:P,16,0),0)</f>
        <v>0</v>
      </c>
      <c r="L34" s="109">
        <f>IFERROR(VLOOKUP(B34,'Campo dei Fiori'!A:P,16,0),0)</f>
        <v>140.76</v>
      </c>
      <c r="M34" s="109">
        <f>IFERROR(VLOOKUP(B34,'Erba Ghisallo'!A:P,16,0),0)</f>
        <v>0</v>
      </c>
      <c r="N34" s="109">
        <f>IFERROR(VLOOKUP(B34,Ambrosiano!A:Q,16,0),0)</f>
        <v>0</v>
      </c>
      <c r="O34" s="47">
        <f>IFERROR(VLOOKUP(B34,Presolana!A:Q,16,0),0)</f>
        <v>0</v>
      </c>
      <c r="P34" s="4"/>
      <c r="Q34" s="60">
        <f t="shared" si="4"/>
        <v>252.10865279999996</v>
      </c>
      <c r="S34" s="56">
        <f t="shared" si="6"/>
        <v>2</v>
      </c>
      <c r="T34" s="57">
        <f>VLOOKUP(S34,Regolamento!G$6:I$14,3,0)</f>
        <v>1.05</v>
      </c>
      <c r="V34" s="118">
        <f t="shared" si="3"/>
        <v>264.71408543999996</v>
      </c>
      <c r="Y34"/>
    </row>
    <row r="35" spans="1:26" x14ac:dyDescent="0.25">
      <c r="A35">
        <v>30</v>
      </c>
      <c r="B35" s="8" t="s">
        <v>87</v>
      </c>
      <c r="C35" s="12" t="str">
        <f>IFERROR(VLOOKUP(B35,concorrenti!A:C,3,0)," ")</f>
        <v>C</v>
      </c>
      <c r="D35" s="12">
        <f>VLOOKUP(B35,concorrenti!A:E,5,0)</f>
        <v>0</v>
      </c>
      <c r="E35" s="12">
        <f>VLOOKUP(B35,concorrenti!A:G,7,0)</f>
        <v>0</v>
      </c>
      <c r="F35" s="12" t="str">
        <f>VLOOKUP(B35,concorrenti!A$1:G$289,2,0)</f>
        <v>CASTELLOTTI</v>
      </c>
      <c r="G35" s="47">
        <f>IFERROR(VLOOKUP(B35,'Nora Sciplino'!A$12:P$68,16,0),0)</f>
        <v>1.3777499999999998</v>
      </c>
      <c r="H35" s="47">
        <f>IFERROR(VLOOKUP(B35,Castellotti!A$12:P$66,16,0),0)</f>
        <v>50.16</v>
      </c>
      <c r="I35" s="75">
        <f>IFERROR(VLOOKUP(B35,Solidarietà!A:P,16,0),0)</f>
        <v>38.896000000000001</v>
      </c>
      <c r="J35" s="104">
        <f t="shared" si="5"/>
        <v>23.7659895</v>
      </c>
      <c r="K35" s="57">
        <f>IFERROR(VLOOKUP(B35,'Giro del Lario'!A:P,16,0),0)</f>
        <v>0</v>
      </c>
      <c r="L35" s="47">
        <f>IFERROR(VLOOKUP(B35,'Campo dei Fiori'!A:P,16,0),0)</f>
        <v>0</v>
      </c>
      <c r="M35" s="47">
        <f>IFERROR(VLOOKUP(B35,'Erba Ghisallo'!A:P,16,0),0)</f>
        <v>18.815999999999999</v>
      </c>
      <c r="N35" s="47">
        <f>IFERROR(VLOOKUP(B35,Ambrosiano!A:Q,16,0),0)</f>
        <v>42.196000000000005</v>
      </c>
      <c r="O35" s="47">
        <f>IFERROR(VLOOKUP(B35,Presolana!A:Q,16,0),0)</f>
        <v>34.254999999999995</v>
      </c>
      <c r="P35" s="4"/>
      <c r="Q35" s="60">
        <f t="shared" si="4"/>
        <v>209.46673949999999</v>
      </c>
      <c r="S35" s="56">
        <f t="shared" si="6"/>
        <v>6</v>
      </c>
      <c r="T35" s="57">
        <f>VLOOKUP(S35,Regolamento!G$6:I$14,3,0)</f>
        <v>1.25</v>
      </c>
      <c r="V35" s="60">
        <f t="shared" si="3"/>
        <v>261.83342437499999</v>
      </c>
      <c r="X35" s="10"/>
      <c r="Z35" s="119"/>
    </row>
    <row r="36" spans="1:26" x14ac:dyDescent="0.25">
      <c r="A36">
        <v>31</v>
      </c>
      <c r="B36" s="8" t="s">
        <v>309</v>
      </c>
      <c r="C36" s="12" t="str">
        <f>IFERROR(VLOOKUP(B36,concorrenti!A:C,3,0)," ")</f>
        <v>A</v>
      </c>
      <c r="D36" s="12">
        <f>VLOOKUP(B36,concorrenti!A:E,5,0)</f>
        <v>0</v>
      </c>
      <c r="E36" s="12">
        <f>VLOOKUP(B36,concorrenti!A:G,7,0)</f>
        <v>0</v>
      </c>
      <c r="F36" s="12" t="str">
        <f>VLOOKUP(B36,concorrenti!A$1:G$289,2,0)</f>
        <v>VCC COMO</v>
      </c>
      <c r="G36" s="47">
        <f>IFERROR(VLOOKUP(B36,'Nora Sciplino'!A$12:P$68,16,0),0)</f>
        <v>0</v>
      </c>
      <c r="H36" s="47">
        <f>IFERROR(VLOOKUP(B36,Castellotti!A$12:P$66,16,0),0)</f>
        <v>0</v>
      </c>
      <c r="I36" s="75">
        <f>IFERROR(VLOOKUP(B36,Solidarietà!A:P,16,0),0)</f>
        <v>68.067999999999998</v>
      </c>
      <c r="J36" s="104">
        <f t="shared" si="5"/>
        <v>17.8882704</v>
      </c>
      <c r="K36" s="57">
        <f>IFERROR(VLOOKUP(B36,'Giro del Lario'!A:P,16,0),0)</f>
        <v>0</v>
      </c>
      <c r="L36" s="47">
        <f>IFERROR(VLOOKUP(B36,'Campo dei Fiori'!A:P,16,0),0)</f>
        <v>0</v>
      </c>
      <c r="M36" s="47">
        <f>IFERROR(VLOOKUP(B36,'Erba Ghisallo'!A:P,16,0),0)</f>
        <v>77.616</v>
      </c>
      <c r="N36" s="47">
        <f>IFERROR(VLOOKUP(B36,Ambrosiano!A:Q,16,0),0)</f>
        <v>71.733200000000011</v>
      </c>
      <c r="O36" s="47">
        <f>IFERROR(VLOOKUP(B36,Presolana!A:Q,16,0),0)</f>
        <v>0</v>
      </c>
      <c r="P36" s="4"/>
      <c r="Q36" s="60">
        <f t="shared" si="4"/>
        <v>235.30547039999999</v>
      </c>
      <c r="S36" s="56">
        <f t="shared" si="6"/>
        <v>3</v>
      </c>
      <c r="T36" s="57">
        <f>VLOOKUP(S36,Regolamento!G$6:I$14,3,0)</f>
        <v>1.1000000000000001</v>
      </c>
      <c r="V36" s="60">
        <f t="shared" si="3"/>
        <v>258.83601744000003</v>
      </c>
      <c r="Y36"/>
    </row>
    <row r="37" spans="1:26" x14ac:dyDescent="0.25">
      <c r="A37">
        <v>32</v>
      </c>
      <c r="B37" s="8" t="s">
        <v>303</v>
      </c>
      <c r="C37" s="12" t="str">
        <f>IFERROR(VLOOKUP(B37,concorrenti!A:C,3,0)," ")</f>
        <v>A</v>
      </c>
      <c r="D37" s="12">
        <f>VLOOKUP(B37,concorrenti!A:E,5,0)</f>
        <v>0</v>
      </c>
      <c r="E37" s="12">
        <f>VLOOKUP(B37,concorrenti!A:G,7,0)</f>
        <v>0</v>
      </c>
      <c r="F37" s="12" t="str">
        <f>VLOOKUP(B37,concorrenti!A$1:G$289,2,0)</f>
        <v>OROBICO</v>
      </c>
      <c r="G37" s="47">
        <f>IFERROR(VLOOKUP(B37,'Nora Sciplino'!A$12:P$68,16,0),0)</f>
        <v>0</v>
      </c>
      <c r="H37" s="47">
        <f>IFERROR(VLOOKUP(B37,Castellotti!A$12:P$66,16,0),0)</f>
        <v>0</v>
      </c>
      <c r="I37" s="75">
        <f>IFERROR(VLOOKUP(B37,Solidarietà!A:P,16,0),0)</f>
        <v>70.498999999999995</v>
      </c>
      <c r="J37" s="104">
        <f t="shared" si="5"/>
        <v>18.527137199999999</v>
      </c>
      <c r="K37" s="57">
        <f>IFERROR(VLOOKUP(B37,'Giro del Lario'!A:P,16,0),0)</f>
        <v>0</v>
      </c>
      <c r="L37" s="47">
        <f>IFERROR(VLOOKUP(B37,'Campo dei Fiori'!A:P,16,0),0)</f>
        <v>0</v>
      </c>
      <c r="M37" s="47">
        <f>IFERROR(VLOOKUP(B37,'Erba Ghisallo'!A:P,16,0),0)</f>
        <v>61.152000000000001</v>
      </c>
      <c r="N37" s="47">
        <f>IFERROR(VLOOKUP(B37,Ambrosiano!A:Q,16,0),0)</f>
        <v>0</v>
      </c>
      <c r="O37" s="47">
        <f>IFERROR(VLOOKUP(B37,Presolana!A:Q,16,0),0)</f>
        <v>81.685000000000002</v>
      </c>
      <c r="P37" s="4"/>
      <c r="Q37" s="60">
        <f t="shared" si="4"/>
        <v>231.86313719999998</v>
      </c>
      <c r="S37" s="56">
        <f t="shared" si="6"/>
        <v>3</v>
      </c>
      <c r="T37" s="57">
        <f>VLOOKUP(S37,Regolamento!G$6:I$14,3,0)</f>
        <v>1.1000000000000001</v>
      </c>
      <c r="V37" s="60">
        <f t="shared" si="3"/>
        <v>255.04945092</v>
      </c>
      <c r="Y37"/>
    </row>
    <row r="38" spans="1:26" x14ac:dyDescent="0.25">
      <c r="A38">
        <v>33</v>
      </c>
      <c r="B38" s="107" t="s">
        <v>311</v>
      </c>
      <c r="C38" s="108" t="str">
        <f>IFERROR(VLOOKUP(B38,concorrenti!A:C,3,0)," ")</f>
        <v>A</v>
      </c>
      <c r="D38" s="108" t="str">
        <f>VLOOKUP(B38,concorrenti!A:E,5,0)</f>
        <v>X</v>
      </c>
      <c r="E38" s="108">
        <f>VLOOKUP(B38,concorrenti!A:G,7,0)</f>
        <v>0</v>
      </c>
      <c r="F38" s="108" t="str">
        <f>VLOOKUP(B38,concorrenti!A$1:G$289,2,0)</f>
        <v>OROBICO</v>
      </c>
      <c r="G38" s="109">
        <f>IFERROR(VLOOKUP(B38,'Nora Sciplino'!A$12:P$68,16,0),0)</f>
        <v>0</v>
      </c>
      <c r="H38" s="109">
        <f>IFERROR(VLOOKUP(B38,Castellotti!A$12:P$66,16,0),0)</f>
        <v>0</v>
      </c>
      <c r="I38" s="110">
        <f>IFERROR(VLOOKUP(B38,Solidarietà!A:P,16,0),0)</f>
        <v>82.653999999999996</v>
      </c>
      <c r="J38" s="104">
        <f t="shared" si="5"/>
        <v>21.7214712</v>
      </c>
      <c r="K38" s="124">
        <f>IFERROR(VLOOKUP(B38,'Giro del Lario'!A:P,16,0),0)</f>
        <v>0</v>
      </c>
      <c r="L38" s="109">
        <f>IFERROR(VLOOKUP(B38,'Campo dei Fiori'!A:P,16,0),0)</f>
        <v>0</v>
      </c>
      <c r="M38" s="109">
        <f>IFERROR(VLOOKUP(B38,'Erba Ghisallo'!A:P,16,0),0)</f>
        <v>0</v>
      </c>
      <c r="N38" s="109">
        <f>IFERROR(VLOOKUP(B38,Ambrosiano!A:Q,16,0),0)</f>
        <v>0</v>
      </c>
      <c r="O38" s="47">
        <f>IFERROR(VLOOKUP(B38,Presolana!A:Q,16,0),0)</f>
        <v>100.13</v>
      </c>
      <c r="Q38" s="60">
        <f t="shared" si="4"/>
        <v>204.50547119999999</v>
      </c>
      <c r="S38" s="56">
        <f t="shared" si="6"/>
        <v>2</v>
      </c>
      <c r="T38" s="57">
        <f>VLOOKUP(S38,Regolamento!G$6:I$14,3,0)</f>
        <v>1.05</v>
      </c>
      <c r="V38" s="118">
        <f t="shared" ref="V38:V69" si="7">+T38*Q38</f>
        <v>214.73074475999999</v>
      </c>
      <c r="Y38"/>
    </row>
    <row r="39" spans="1:26" x14ac:dyDescent="0.25">
      <c r="A39">
        <v>34</v>
      </c>
      <c r="B39" s="8" t="s">
        <v>27</v>
      </c>
      <c r="C39" s="12" t="str">
        <f>IFERROR(VLOOKUP(B39,concorrenti!A:C,3,0)," ")</f>
        <v>A</v>
      </c>
      <c r="D39" s="12">
        <f>VLOOKUP(B39,concorrenti!A:E,5,0)</f>
        <v>0</v>
      </c>
      <c r="E39" s="12">
        <f>VLOOKUP(B39,concorrenti!A:G,7,0)</f>
        <v>0</v>
      </c>
      <c r="F39" s="12" t="str">
        <f>VLOOKUP(B39,concorrenti!A$1:G$289,2,0)</f>
        <v>VAMS</v>
      </c>
      <c r="G39" s="121">
        <f>IFERROR(VLOOKUP(B39,'Nora Sciplino'!A$12:P$68,16,0),0)</f>
        <v>112.97549999999998</v>
      </c>
      <c r="H39" s="47">
        <f>IFERROR(VLOOKUP(B39,Castellotti!A$12:P$66,16,0),0)</f>
        <v>0</v>
      </c>
      <c r="I39" s="75">
        <f>IFERROR(VLOOKUP(B39,Solidarietà!A:P,16,0),0)</f>
        <v>0</v>
      </c>
      <c r="J39" s="47">
        <f>IFERROR(VLOOKUP(B39,Gallarate!A:P,16,0),0)</f>
        <v>83.098399999999998</v>
      </c>
      <c r="K39" s="57">
        <f>IFERROR(VLOOKUP(B39,'Giro del Lario'!A:P,16,0),0)</f>
        <v>0</v>
      </c>
      <c r="L39" s="47">
        <f>IFERROR(VLOOKUP(B39,'Campo dei Fiori'!A:P,16,0),0)</f>
        <v>0</v>
      </c>
      <c r="M39" s="47">
        <f>IFERROR(VLOOKUP(B39,'Erba Ghisallo'!A:P,16,0),0)</f>
        <v>0</v>
      </c>
      <c r="N39" s="47">
        <f>IFERROR(VLOOKUP(B39,Ambrosiano!A:Q,16,0),0)</f>
        <v>0</v>
      </c>
      <c r="O39" s="47">
        <f>IFERROR(VLOOKUP(B39,Presolana!A:Q,16,0),0)</f>
        <v>0</v>
      </c>
      <c r="P39" s="4"/>
      <c r="Q39" s="60">
        <f t="shared" si="4"/>
        <v>196.07389999999998</v>
      </c>
      <c r="S39" s="56">
        <f>COUNTIF(G39:O39,"&lt;&gt;0")</f>
        <v>2</v>
      </c>
      <c r="T39" s="57">
        <f>VLOOKUP(S39,Regolamento!G$6:I$14,3,0)</f>
        <v>1.05</v>
      </c>
      <c r="V39" s="60">
        <f t="shared" si="7"/>
        <v>205.87759499999999</v>
      </c>
      <c r="Y39"/>
    </row>
    <row r="40" spans="1:26" x14ac:dyDescent="0.25">
      <c r="A40">
        <v>35</v>
      </c>
      <c r="B40" s="8" t="s">
        <v>18</v>
      </c>
      <c r="C40" s="12" t="str">
        <f>IFERROR(VLOOKUP(B40,concorrenti!A:C,3,0)," ")</f>
        <v>C</v>
      </c>
      <c r="D40" s="12">
        <f>VLOOKUP(B40,concorrenti!A:E,5,0)</f>
        <v>0</v>
      </c>
      <c r="E40" s="12">
        <f>VLOOKUP(B40,concorrenti!A:G,7,0)</f>
        <v>0</v>
      </c>
      <c r="F40" s="12" t="str">
        <f>VLOOKUP(B40,concorrenti!A$1:G$289,2,0)</f>
        <v>VAMS</v>
      </c>
      <c r="G40" s="47">
        <f>IFERROR(VLOOKUP(B40,'Nora Sciplino'!A$12:P$68,16,0),0)</f>
        <v>22.043999999999997</v>
      </c>
      <c r="H40" s="47">
        <f>IFERROR(VLOOKUP(B40,Castellotti!A$12:P$66,16,0),0)</f>
        <v>31.349999999999998</v>
      </c>
      <c r="I40" s="75">
        <f>IFERROR(VLOOKUP(B40,Solidarietà!A:P,16,0),0)</f>
        <v>0</v>
      </c>
      <c r="J40" s="47">
        <f>IFERROR(VLOOKUP(B40,Gallarate!A:P,16,0),0)</f>
        <v>24.0548</v>
      </c>
      <c r="K40" s="57">
        <f>IFERROR(VLOOKUP(B40,'Giro del Lario'!A:P,16,0),0)</f>
        <v>61.25</v>
      </c>
      <c r="L40" s="47">
        <f>IFERROR(VLOOKUP(B40,'Campo dei Fiori'!A:P,16,0),0)</f>
        <v>0</v>
      </c>
      <c r="M40" s="47">
        <f>IFERROR(VLOOKUP(B40,'Erba Ghisallo'!A:P,16,0),0)</f>
        <v>7.0560000000000009</v>
      </c>
      <c r="N40" s="47">
        <f>IFERROR(VLOOKUP(B40,Ambrosiano!A:Q,16,0),0)</f>
        <v>0</v>
      </c>
      <c r="O40" s="47">
        <f>IFERROR(VLOOKUP(B40,Presolana!A:Q,16,0),0)</f>
        <v>13.175000000000001</v>
      </c>
      <c r="P40" s="4"/>
      <c r="Q40" s="60">
        <f t="shared" si="4"/>
        <v>158.92980000000003</v>
      </c>
      <c r="S40" s="56">
        <f>COUNTIF(G40:O40,"&lt;&gt;0")</f>
        <v>6</v>
      </c>
      <c r="T40" s="57">
        <f>VLOOKUP(S40,Regolamento!G$6:I$14,3,0)</f>
        <v>1.25</v>
      </c>
      <c r="V40" s="60">
        <f t="shared" si="7"/>
        <v>198.66225000000003</v>
      </c>
      <c r="X40" s="10"/>
      <c r="Z40" s="119"/>
    </row>
    <row r="41" spans="1:26" x14ac:dyDescent="0.25">
      <c r="A41">
        <v>36</v>
      </c>
      <c r="B41" s="8" t="s">
        <v>227</v>
      </c>
      <c r="C41" s="12" t="str">
        <f>IFERROR(VLOOKUP(B41,concorrenti!A:C,3,0)," ")</f>
        <v>C</v>
      </c>
      <c r="D41" s="12">
        <f>VLOOKUP(B41,concorrenti!A:E,5,0)</f>
        <v>0</v>
      </c>
      <c r="E41" s="12">
        <f>VLOOKUP(B41,concorrenti!A:G,7,0)</f>
        <v>0</v>
      </c>
      <c r="F41" s="12" t="str">
        <f>VLOOKUP(B41,concorrenti!A$1:G$289,2,0)</f>
        <v>VCC COMO</v>
      </c>
      <c r="G41" s="47">
        <f>IFERROR(VLOOKUP(B41,'Nora Sciplino'!A$12:P$68,16,0),0)</f>
        <v>0</v>
      </c>
      <c r="H41" s="47">
        <f>IFERROR(VLOOKUP(B41,Castellotti!A$12:P$66,16,0),0)</f>
        <v>12.54</v>
      </c>
      <c r="I41" s="75">
        <f>IFERROR(VLOOKUP(B41,Solidarietà!A:P,16,0),0)</f>
        <v>41.326999999999998</v>
      </c>
      <c r="J41" s="104">
        <f>SUM(G41:I41)/3*J$5</f>
        <v>14.156247599999999</v>
      </c>
      <c r="K41" s="57">
        <f>IFERROR(VLOOKUP(B41,'Giro del Lario'!A:P,16,0),0)</f>
        <v>0</v>
      </c>
      <c r="L41" s="47">
        <f>IFERROR(VLOOKUP(B41,'Campo dei Fiori'!A:P,16,0),0)</f>
        <v>0</v>
      </c>
      <c r="M41" s="47">
        <f>IFERROR(VLOOKUP(B41,'Erba Ghisallo'!A:P,16,0),0)</f>
        <v>21.168000000000003</v>
      </c>
      <c r="N41" s="47">
        <f>IFERROR(VLOOKUP(B41,Ambrosiano!A:Q,16,0),0)</f>
        <v>37.976399999999998</v>
      </c>
      <c r="O41" s="47">
        <f>IFERROR(VLOOKUP(B41,Presolana!A:Q,16,0),0)</f>
        <v>36.89</v>
      </c>
      <c r="Q41" s="60">
        <f t="shared" si="4"/>
        <v>164.0576476</v>
      </c>
      <c r="S41" s="56">
        <f>COUNTIF(G41:O41,"&lt;&gt;0")-1</f>
        <v>5</v>
      </c>
      <c r="T41" s="57">
        <f>VLOOKUP(S41,Regolamento!G$6:I$14,3,0)</f>
        <v>1.2</v>
      </c>
      <c r="V41" s="60">
        <f t="shared" si="7"/>
        <v>196.86917711999999</v>
      </c>
      <c r="X41" s="10"/>
      <c r="Z41" s="119"/>
    </row>
    <row r="42" spans="1:26" x14ac:dyDescent="0.25">
      <c r="A42">
        <v>37</v>
      </c>
      <c r="B42" s="107" t="s">
        <v>226</v>
      </c>
      <c r="C42" s="108" t="str">
        <f>IFERROR(VLOOKUP(B42,concorrenti!A:C,3,0)," ")</f>
        <v>B</v>
      </c>
      <c r="D42" s="108" t="str">
        <f>VLOOKUP(B42,concorrenti!A:E,5,0)</f>
        <v>X</v>
      </c>
      <c r="E42" s="108">
        <f>VLOOKUP(B42,concorrenti!A:G,7,0)</f>
        <v>0</v>
      </c>
      <c r="F42" s="108" t="str">
        <f>VLOOKUP(B42,concorrenti!A$1:G$289,2,0)</f>
        <v>VCC COMO</v>
      </c>
      <c r="G42" s="109">
        <f>IFERROR(VLOOKUP(B42,'Nora Sciplino'!A$12:P$68,16,0),0)</f>
        <v>0</v>
      </c>
      <c r="H42" s="109">
        <f>IFERROR(VLOOKUP(B42,Castellotti!A$12:P$66,16,0),0)</f>
        <v>1.5674999999999999</v>
      </c>
      <c r="I42" s="110">
        <f>IFERROR(VLOOKUP(B42,Solidarietà!A:P,16,0),0)</f>
        <v>0</v>
      </c>
      <c r="J42" s="104">
        <f>SUM(G42:I42)/3*J$5</f>
        <v>0.41193899999999994</v>
      </c>
      <c r="K42" s="124">
        <f>IFERROR(VLOOKUP(B42,'Giro del Lario'!A:P,16,0),0)</f>
        <v>78.75</v>
      </c>
      <c r="L42" s="109">
        <f>IFERROR(VLOOKUP(B42,'Campo dei Fiori'!A:P,16,0),0)</f>
        <v>0</v>
      </c>
      <c r="M42" s="109">
        <f>IFERROR(VLOOKUP(B42,'Erba Ghisallo'!A:P,16,0),0)</f>
        <v>89.376000000000005</v>
      </c>
      <c r="N42" s="109">
        <f>IFERROR(VLOOKUP(B42,Ambrosiano!A:Q,16,0),0)</f>
        <v>0</v>
      </c>
      <c r="O42" s="47">
        <f>IFERROR(VLOOKUP(B42,Presolana!A:Q,16,0),0)</f>
        <v>0</v>
      </c>
      <c r="Q42" s="60">
        <f t="shared" si="4"/>
        <v>170.10543899999999</v>
      </c>
      <c r="S42" s="56">
        <f>COUNTIF(G42:O42,"&lt;&gt;0")-1</f>
        <v>3</v>
      </c>
      <c r="T42" s="57">
        <f>VLOOKUP(S42,Regolamento!G$6:I$14,3,0)</f>
        <v>1.1000000000000001</v>
      </c>
      <c r="V42" s="118">
        <f t="shared" si="7"/>
        <v>187.11598290000001</v>
      </c>
      <c r="Y42"/>
    </row>
    <row r="43" spans="1:26" x14ac:dyDescent="0.25">
      <c r="A43">
        <v>38</v>
      </c>
      <c r="B43" s="8" t="s">
        <v>40</v>
      </c>
      <c r="C43" s="12" t="str">
        <f>IFERROR(VLOOKUP(B43,concorrenti!A:C,3,0)," ")</f>
        <v>C</v>
      </c>
      <c r="D43" s="12">
        <f>VLOOKUP(B43,concorrenti!A:E,5,0)</f>
        <v>0</v>
      </c>
      <c r="E43" s="12">
        <f>VLOOKUP(B43,concorrenti!A:G,7,0)</f>
        <v>0</v>
      </c>
      <c r="F43" s="12" t="str">
        <f>VLOOKUP(B43,concorrenti!A$1:G$289,2,0)</f>
        <v>VAMS</v>
      </c>
      <c r="G43" s="47">
        <f>IFERROR(VLOOKUP(B43,'Nora Sciplino'!A$12:P$68,16,0),0)</f>
        <v>33.065999999999995</v>
      </c>
      <c r="H43" s="47">
        <f>IFERROR(VLOOKUP(B43,Castellotti!A$12:P$66,16,0),0)</f>
        <v>0</v>
      </c>
      <c r="I43" s="75">
        <f>IFERROR(VLOOKUP(B43,Solidarietà!A:P,16,0),0)</f>
        <v>0</v>
      </c>
      <c r="J43" s="47">
        <f>IFERROR(VLOOKUP(B43,Gallarate!A:P,16,0),0)</f>
        <v>28.428400000000003</v>
      </c>
      <c r="K43" s="57">
        <f>IFERROR(VLOOKUP(B43,'Giro del Lario'!A:P,16,0),0)</f>
        <v>0</v>
      </c>
      <c r="L43" s="47">
        <f>IFERROR(VLOOKUP(B43,'Campo dei Fiori'!A:P,16,0),0)</f>
        <v>67.564799999999991</v>
      </c>
      <c r="M43" s="47">
        <f>IFERROR(VLOOKUP(B43,'Erba Ghisallo'!A:P,16,0),0)</f>
        <v>28.224000000000004</v>
      </c>
      <c r="N43" s="47">
        <f>IFERROR(VLOOKUP(B43,Ambrosiano!A:Q,16,0),0)</f>
        <v>0</v>
      </c>
      <c r="O43" s="47">
        <f>IFERROR(VLOOKUP(B43,Presolana!A:Q,16,0),0)</f>
        <v>0</v>
      </c>
      <c r="Q43" s="60">
        <f t="shared" si="4"/>
        <v>157.28319999999997</v>
      </c>
      <c r="S43" s="56">
        <f>COUNTIF(G43:O43,"&lt;&gt;0")</f>
        <v>4</v>
      </c>
      <c r="T43" s="57">
        <f>VLOOKUP(S43,Regolamento!G$6:I$14,3,0)</f>
        <v>1.1499999999999999</v>
      </c>
      <c r="V43" s="60">
        <f t="shared" si="7"/>
        <v>180.87567999999996</v>
      </c>
      <c r="X43" s="10"/>
      <c r="Z43" s="119"/>
    </row>
    <row r="44" spans="1:26" x14ac:dyDescent="0.25">
      <c r="A44">
        <v>39</v>
      </c>
      <c r="B44" s="8" t="s">
        <v>219</v>
      </c>
      <c r="C44" s="12" t="str">
        <f>IFERROR(VLOOKUP(B44,concorrenti!A:C,3,0)," ")</f>
        <v>C</v>
      </c>
      <c r="D44" s="12">
        <f>VLOOKUP(B44,concorrenti!A:E,5,0)</f>
        <v>0</v>
      </c>
      <c r="E44" s="12">
        <f>VLOOKUP(B44,concorrenti!A:G,7,0)</f>
        <v>0</v>
      </c>
      <c r="F44" s="12" t="str">
        <f>VLOOKUP(B44,concorrenti!A$1:G$289,2,0)</f>
        <v>OROBICO</v>
      </c>
      <c r="G44" s="47">
        <f>IFERROR(VLOOKUP(B44,'Nora Sciplino'!A$12:P$68,16,0),0)</f>
        <v>0</v>
      </c>
      <c r="H44" s="47">
        <f>IFERROR(VLOOKUP(B44,Castellotti!A$12:P$66,16,0),0)</f>
        <v>21.944999999999997</v>
      </c>
      <c r="I44" s="75">
        <f>IFERROR(VLOOKUP(B44,Solidarietà!A:P,16,0),0)</f>
        <v>36.464999999999996</v>
      </c>
      <c r="J44" s="104">
        <f>SUM(G44:I44)/3*J$5</f>
        <v>15.350147999999999</v>
      </c>
      <c r="K44" s="57">
        <f>IFERROR(VLOOKUP(B44,'Giro del Lario'!A:P,16,0),0)</f>
        <v>0</v>
      </c>
      <c r="L44" s="47">
        <f>IFERROR(VLOOKUP(B44,'Campo dei Fiori'!A:P,16,0),0)</f>
        <v>0</v>
      </c>
      <c r="M44" s="47">
        <f>IFERROR(VLOOKUP(B44,'Erba Ghisallo'!A:P,16,0),0)</f>
        <v>0</v>
      </c>
      <c r="N44" s="47">
        <f>IFERROR(VLOOKUP(B44,Ambrosiano!A:Q,16,0),0)</f>
        <v>44.305800000000005</v>
      </c>
      <c r="O44" s="47">
        <f>IFERROR(VLOOKUP(B44,Presolana!A:Q,16,0),0)</f>
        <v>31.619999999999997</v>
      </c>
      <c r="Q44" s="60">
        <f t="shared" si="4"/>
        <v>149.685948</v>
      </c>
      <c r="S44" s="56">
        <f>COUNTIF(G44:O44,"&lt;&gt;0")-1</f>
        <v>4</v>
      </c>
      <c r="T44" s="57">
        <f>VLOOKUP(S44,Regolamento!G$6:I$14,3,0)</f>
        <v>1.1499999999999999</v>
      </c>
      <c r="V44" s="60">
        <f t="shared" si="7"/>
        <v>172.13884019999998</v>
      </c>
      <c r="X44" s="10"/>
      <c r="Z44" s="119"/>
    </row>
    <row r="45" spans="1:26" x14ac:dyDescent="0.25">
      <c r="A45">
        <v>40</v>
      </c>
      <c r="B45" s="107" t="s">
        <v>211</v>
      </c>
      <c r="C45" s="108" t="str">
        <f>IFERROR(VLOOKUP(B45,concorrenti!A:C,3,0)," ")</f>
        <v>B</v>
      </c>
      <c r="D45" s="108" t="str">
        <f>VLOOKUP(B45,concorrenti!A:E,5,0)</f>
        <v>X</v>
      </c>
      <c r="E45" s="108">
        <f>VLOOKUP(B45,concorrenti!A:G,7,0)</f>
        <v>0</v>
      </c>
      <c r="F45" s="108" t="str">
        <f>VLOOKUP(B45,concorrenti!A$1:G$289,2,0)</f>
        <v>CAVEM</v>
      </c>
      <c r="G45" s="109">
        <f>IFERROR(VLOOKUP(B45,'Nora Sciplino'!A$12:P$68,16,0),0)</f>
        <v>0</v>
      </c>
      <c r="H45" s="109">
        <f>IFERROR(VLOOKUP(B45,Castellotti!A$12:P$66,16,0),0)</f>
        <v>75.239999999999981</v>
      </c>
      <c r="I45" s="110">
        <f>IFERROR(VLOOKUP(B45,Solidarietà!A:P,16,0),0)</f>
        <v>0</v>
      </c>
      <c r="J45" s="104">
        <f>SUM(G45:I45)/3*J$5</f>
        <v>19.773071999999996</v>
      </c>
      <c r="K45" s="124">
        <f>IFERROR(VLOOKUP(B45,'Giro del Lario'!A:P,16,0),0)</f>
        <v>0</v>
      </c>
      <c r="L45" s="109">
        <f>IFERROR(VLOOKUP(B45,'Campo dei Fiori'!A:P,16,0),0)</f>
        <v>0</v>
      </c>
      <c r="M45" s="109">
        <f>IFERROR(VLOOKUP(B45,'Erba Ghisallo'!A:P,16,0),0)</f>
        <v>0</v>
      </c>
      <c r="N45" s="109">
        <f>IFERROR(VLOOKUP(B45,Ambrosiano!A:Q,16,0),0)</f>
        <v>56.964600000000004</v>
      </c>
      <c r="O45" s="47">
        <f>IFERROR(VLOOKUP(B45,Presolana!A:Q,16,0),0)</f>
        <v>0</v>
      </c>
      <c r="Q45" s="60">
        <f t="shared" si="4"/>
        <v>151.97767199999998</v>
      </c>
      <c r="S45" s="56">
        <f>COUNTIF(G45:O45,"&lt;&gt;0")-1</f>
        <v>2</v>
      </c>
      <c r="T45" s="57">
        <f>VLOOKUP(S45,Regolamento!G$6:I$14,3,0)</f>
        <v>1.05</v>
      </c>
      <c r="V45" s="118">
        <f t="shared" si="7"/>
        <v>159.57655559999998</v>
      </c>
      <c r="X45" s="10"/>
      <c r="Z45" s="119"/>
    </row>
    <row r="46" spans="1:26" x14ac:dyDescent="0.25">
      <c r="A46">
        <v>41</v>
      </c>
      <c r="B46" s="8" t="s">
        <v>304</v>
      </c>
      <c r="C46" s="12" t="str">
        <f>IFERROR(VLOOKUP(B46,concorrenti!A:C,3,0)," ")</f>
        <v>C</v>
      </c>
      <c r="D46" s="12">
        <f>VLOOKUP(B46,concorrenti!A:E,5,0)</f>
        <v>0</v>
      </c>
      <c r="E46" s="12">
        <f>VLOOKUP(B46,concorrenti!A:G,7,0)</f>
        <v>0</v>
      </c>
      <c r="F46" s="12" t="str">
        <f>VLOOKUP(B46,concorrenti!A$1:G$289,2,0)</f>
        <v>OROBICO</v>
      </c>
      <c r="G46" s="47">
        <f>IFERROR(VLOOKUP(B46,'Nora Sciplino'!A$12:P$68,16,0),0)</f>
        <v>0</v>
      </c>
      <c r="H46" s="47">
        <f>IFERROR(VLOOKUP(B46,Castellotti!A$12:P$66,16,0),0)</f>
        <v>0</v>
      </c>
      <c r="I46" s="75">
        <f>IFERROR(VLOOKUP(B46,Solidarietà!A:P,16,0),0)</f>
        <v>48.62</v>
      </c>
      <c r="J46" s="104">
        <f>SUM(G46:I46)/3*J$5</f>
        <v>12.777336</v>
      </c>
      <c r="K46" s="57">
        <f>IFERROR(VLOOKUP(B46,'Giro del Lario'!A:P,16,0),0)</f>
        <v>0</v>
      </c>
      <c r="L46" s="47">
        <f>IFERROR(VLOOKUP(B46,'Campo dei Fiori'!A:P,16,0),0)</f>
        <v>0</v>
      </c>
      <c r="M46" s="47">
        <f>IFERROR(VLOOKUP(B46,'Erba Ghisallo'!A:P,16,0),0)</f>
        <v>0</v>
      </c>
      <c r="N46" s="47">
        <f>IFERROR(VLOOKUP(B46,Ambrosiano!A:Q,16,0),0)</f>
        <v>0</v>
      </c>
      <c r="O46" s="47">
        <f>IFERROR(VLOOKUP(B46,Presolana!A:Q,16,0),0)</f>
        <v>86.954999999999998</v>
      </c>
      <c r="Q46" s="60">
        <f t="shared" si="4"/>
        <v>148.35233599999998</v>
      </c>
      <c r="S46" s="56">
        <f>COUNTIF(G46:O46,"&lt;&gt;0")-1</f>
        <v>2</v>
      </c>
      <c r="T46" s="57">
        <f>VLOOKUP(S46,Regolamento!G$6:I$14,3,0)</f>
        <v>1.05</v>
      </c>
      <c r="V46" s="60">
        <f t="shared" si="7"/>
        <v>155.7699528</v>
      </c>
      <c r="X46" s="10"/>
      <c r="Z46" s="119"/>
    </row>
    <row r="47" spans="1:26" x14ac:dyDescent="0.25">
      <c r="A47">
        <v>42</v>
      </c>
      <c r="B47" s="8" t="s">
        <v>14</v>
      </c>
      <c r="C47" s="12" t="str">
        <f>IFERROR(VLOOKUP(B47,concorrenti!A:C,3,0)," ")</f>
        <v>A</v>
      </c>
      <c r="D47" s="12">
        <f>VLOOKUP(B47,concorrenti!A:E,5,0)</f>
        <v>0</v>
      </c>
      <c r="E47" s="12">
        <f>VLOOKUP(B47,concorrenti!A:G,7,0)</f>
        <v>0</v>
      </c>
      <c r="F47" s="12" t="str">
        <f>VLOOKUP(B47,concorrenti!A$1:G$289,2,0)</f>
        <v>VAMS</v>
      </c>
      <c r="G47" s="47">
        <f>IFERROR(VLOOKUP(B47,'Nora Sciplino'!A$12:P$68,16,0),0)</f>
        <v>96.442499999999995</v>
      </c>
      <c r="H47" s="47">
        <f>IFERROR(VLOOKUP(B47,Castellotti!A$12:P$66,16,0),0)</f>
        <v>0</v>
      </c>
      <c r="I47" s="75">
        <f>IFERROR(VLOOKUP(B47,Solidarietà!A:P,16,0),0)</f>
        <v>0</v>
      </c>
      <c r="J47" s="104">
        <f>SUM(G47:I47)/3*J$5</f>
        <v>25.345089000000002</v>
      </c>
      <c r="K47" s="57">
        <f>IFERROR(VLOOKUP(B47,'Giro del Lario'!A:P,16,0),0)</f>
        <v>0</v>
      </c>
      <c r="L47" s="47">
        <f>IFERROR(VLOOKUP(B47,'Campo dei Fiori'!A:P,16,0),0)</f>
        <v>0</v>
      </c>
      <c r="M47" s="47">
        <f>IFERROR(VLOOKUP(B47,'Erba Ghisallo'!A:P,16,0),0)</f>
        <v>0</v>
      </c>
      <c r="N47" s="47">
        <f>IFERROR(VLOOKUP(B47,Ambrosiano!A:Q,16,0),0)</f>
        <v>0</v>
      </c>
      <c r="O47" s="47">
        <f>IFERROR(VLOOKUP(B47,Presolana!A:Q,16,0),0)</f>
        <v>10.54</v>
      </c>
      <c r="P47" s="4"/>
      <c r="Q47" s="60">
        <f t="shared" si="4"/>
        <v>132.32758899999999</v>
      </c>
      <c r="S47" s="56">
        <f>COUNTIF(G47:O47,"&lt;&gt;0")-1</f>
        <v>2</v>
      </c>
      <c r="T47" s="57">
        <f>VLOOKUP(S47,Regolamento!G$6:I$14,3,0)</f>
        <v>1.05</v>
      </c>
      <c r="V47" s="60">
        <f t="shared" si="7"/>
        <v>138.94396845</v>
      </c>
      <c r="X47" s="10"/>
      <c r="Z47" s="119"/>
    </row>
    <row r="48" spans="1:26" x14ac:dyDescent="0.25">
      <c r="A48">
        <v>43</v>
      </c>
      <c r="B48" s="8" t="s">
        <v>353</v>
      </c>
      <c r="C48" s="12" t="str">
        <f>IFERROR(VLOOKUP(B48,concorrenti!A:C,3,0)," ")</f>
        <v>C</v>
      </c>
      <c r="D48" s="12">
        <f>VLOOKUP(B48,concorrenti!A:E,5,0)</f>
        <v>0</v>
      </c>
      <c r="E48" s="12">
        <f>VLOOKUP(B48,concorrenti!A:G,7,0)</f>
        <v>0</v>
      </c>
      <c r="F48" s="12" t="str">
        <f>VLOOKUP(B48,concorrenti!A$1:G$289,2,0)</f>
        <v>VCC COMO</v>
      </c>
      <c r="G48" s="47">
        <f>IFERROR(VLOOKUP(B48,'Nora Sciplino'!A$12:P$68,16,0),0)</f>
        <v>0</v>
      </c>
      <c r="H48" s="47">
        <f>IFERROR(VLOOKUP(B48,Castellotti!A$12:P$66,16,0),0)</f>
        <v>0</v>
      </c>
      <c r="I48" s="75">
        <f>IFERROR(VLOOKUP(B48,Solidarietà!A:P,16,0),0)</f>
        <v>0</v>
      </c>
      <c r="J48" s="104">
        <v>0</v>
      </c>
      <c r="K48" s="57">
        <f>IFERROR(VLOOKUP(B48,'Giro del Lario'!A:P,16,0),0)</f>
        <v>63.4375</v>
      </c>
      <c r="L48" s="47">
        <f>IFERROR(VLOOKUP(B48,'Campo dei Fiori'!A:P,16,0),0)</f>
        <v>0</v>
      </c>
      <c r="M48" s="47">
        <f>IFERROR(VLOOKUP(B48,'Erba Ghisallo'!A:P,16,0),0)</f>
        <v>63.503999999999998</v>
      </c>
      <c r="N48" s="47">
        <f>IFERROR(VLOOKUP(B48,Ambrosiano!A:Q,16,0),0)</f>
        <v>0</v>
      </c>
      <c r="O48" s="47">
        <f>IFERROR(VLOOKUP(B48,Presolana!A:Q,16,0),0)</f>
        <v>0</v>
      </c>
      <c r="Q48" s="60">
        <f t="shared" si="4"/>
        <v>126.94149999999999</v>
      </c>
      <c r="S48" s="56">
        <f>COUNTIF(G48:O48,"&lt;&gt;0")</f>
        <v>2</v>
      </c>
      <c r="T48" s="57">
        <f>VLOOKUP(S48,Regolamento!G$6:I$14,3,0)</f>
        <v>1.05</v>
      </c>
      <c r="V48" s="60">
        <f t="shared" si="7"/>
        <v>133.28857500000001</v>
      </c>
      <c r="X48" s="10"/>
      <c r="Z48" s="119"/>
    </row>
    <row r="49" spans="1:26" x14ac:dyDescent="0.25">
      <c r="A49">
        <v>44</v>
      </c>
      <c r="B49" s="8" t="s">
        <v>209</v>
      </c>
      <c r="C49" s="12" t="str">
        <f>IFERROR(VLOOKUP(B49,concorrenti!A:C,3,0)," ")</f>
        <v>A</v>
      </c>
      <c r="D49" s="12">
        <f>VLOOKUP(B49,concorrenti!A:E,5,0)</f>
        <v>0</v>
      </c>
      <c r="E49" s="12">
        <f>VLOOKUP(B49,concorrenti!A:G,7,0)</f>
        <v>0</v>
      </c>
      <c r="F49" s="12" t="str">
        <f>VLOOKUP(B49,concorrenti!A$1:G$289,2,0)</f>
        <v>AMAMS</v>
      </c>
      <c r="G49" s="47">
        <f>IFERROR(VLOOKUP(B49,'Nora Sciplino'!A$12:P$68,16,0),0)</f>
        <v>0</v>
      </c>
      <c r="H49" s="47">
        <f>IFERROR(VLOOKUP(B49,Castellotti!A$12:P$66,16,0),0)</f>
        <v>103.45499999999998</v>
      </c>
      <c r="I49" s="75">
        <f>IFERROR(VLOOKUP(B49,Solidarietà!A:P,16,0),0)</f>
        <v>0</v>
      </c>
      <c r="J49" s="104">
        <f>SUM(G49:I49)/3*J$5</f>
        <v>27.187973999999993</v>
      </c>
      <c r="K49" s="57">
        <f>IFERROR(VLOOKUP(B49,'Giro del Lario'!A:P,16,0),0)</f>
        <v>0</v>
      </c>
      <c r="L49" s="47">
        <f>IFERROR(VLOOKUP(B49,'Campo dei Fiori'!A:P,16,0),0)</f>
        <v>0</v>
      </c>
      <c r="M49" s="47">
        <f>IFERROR(VLOOKUP(B49,'Erba Ghisallo'!A:P,16,0),0)</f>
        <v>0</v>
      </c>
      <c r="N49" s="47">
        <f>IFERROR(VLOOKUP(B49,Ambrosiano!A:Q,16,0),0)</f>
        <v>0</v>
      </c>
      <c r="O49" s="47">
        <f>IFERROR(VLOOKUP(B49,Presolana!A:Q,16,0),0)</f>
        <v>0</v>
      </c>
      <c r="P49" s="4"/>
      <c r="Q49" s="60">
        <f t="shared" ref="Q49:Q80" si="8">SUM(G49:P49)</f>
        <v>130.64297399999998</v>
      </c>
      <c r="S49" s="56">
        <f>COUNTIF(G49:O49,"&lt;&gt;0")-1</f>
        <v>1</v>
      </c>
      <c r="T49" s="57">
        <f>VLOOKUP(S49,Regolamento!G$6:I$14,3,0)</f>
        <v>1</v>
      </c>
      <c r="V49" s="60">
        <f t="shared" si="7"/>
        <v>130.64297399999998</v>
      </c>
      <c r="Y49"/>
    </row>
    <row r="50" spans="1:26" x14ac:dyDescent="0.25">
      <c r="A50">
        <v>45</v>
      </c>
      <c r="B50" s="8" t="s">
        <v>208</v>
      </c>
      <c r="C50" s="12" t="str">
        <f>IFERROR(VLOOKUP(B50,concorrenti!A:C,3,0)," ")</f>
        <v>A</v>
      </c>
      <c r="D50" s="12">
        <f>VLOOKUP(B50,concorrenti!A:E,5,0)</f>
        <v>0</v>
      </c>
      <c r="E50" s="12">
        <f>VLOOKUP(B50,concorrenti!A:G,7,0)</f>
        <v>0</v>
      </c>
      <c r="F50" s="12" t="str">
        <f>VLOOKUP(B50,concorrenti!A$1:G$289,2,0)</f>
        <v>AMAMS</v>
      </c>
      <c r="G50" s="47">
        <f>IFERROR(VLOOKUP(B50,'Nora Sciplino'!A$12:P$68,16,0),0)</f>
        <v>0</v>
      </c>
      <c r="H50" s="47">
        <f>IFERROR(VLOOKUP(B50,Castellotti!A$12:P$66,16,0),0)</f>
        <v>100.32</v>
      </c>
      <c r="I50" s="75">
        <f>IFERROR(VLOOKUP(B50,Solidarietà!A:P,16,0),0)</f>
        <v>0</v>
      </c>
      <c r="J50" s="104">
        <f>SUM(G50:I50)/3*J$5</f>
        <v>26.364095999999996</v>
      </c>
      <c r="K50" s="57">
        <f>IFERROR(VLOOKUP(B50,'Giro del Lario'!A:P,16,0),0)</f>
        <v>0</v>
      </c>
      <c r="L50" s="47">
        <f>IFERROR(VLOOKUP(B50,'Campo dei Fiori'!A:P,16,0),0)</f>
        <v>0</v>
      </c>
      <c r="M50" s="47">
        <f>IFERROR(VLOOKUP(B50,'Erba Ghisallo'!A:P,16,0),0)</f>
        <v>0</v>
      </c>
      <c r="N50" s="47">
        <f>IFERROR(VLOOKUP(B50,Ambrosiano!A:Q,16,0),0)</f>
        <v>0</v>
      </c>
      <c r="O50" s="47">
        <f>IFERROR(VLOOKUP(B50,Presolana!A:Q,16,0),0)</f>
        <v>0</v>
      </c>
      <c r="P50" s="4"/>
      <c r="Q50" s="60">
        <f t="shared" si="8"/>
        <v>126.68409599999998</v>
      </c>
      <c r="S50" s="56">
        <f>COUNTIF(G50:O50,"&lt;&gt;0")-1</f>
        <v>1</v>
      </c>
      <c r="T50" s="57">
        <f>VLOOKUP(S50,Regolamento!G$6:I$14,3,0)</f>
        <v>1</v>
      </c>
      <c r="V50" s="60">
        <f t="shared" si="7"/>
        <v>126.68409599999998</v>
      </c>
      <c r="X50" s="10"/>
      <c r="Z50" s="119"/>
    </row>
    <row r="51" spans="1:26" x14ac:dyDescent="0.25">
      <c r="A51">
        <v>46</v>
      </c>
      <c r="B51" s="112" t="s">
        <v>84</v>
      </c>
      <c r="C51" s="113" t="str">
        <f>IFERROR(VLOOKUP(B51,concorrenti!A:C,3,0)," ")</f>
        <v>C</v>
      </c>
      <c r="D51" s="113">
        <f>VLOOKUP(B51,concorrenti!A:E,5,0)</f>
        <v>0</v>
      </c>
      <c r="E51" s="113">
        <f>VLOOKUP(B51,concorrenti!A:G,7,0)</f>
        <v>0</v>
      </c>
      <c r="F51" s="113" t="str">
        <f>VLOOKUP(B51,concorrenti!A$1:G$289,2,0)</f>
        <v>VALTELLINA</v>
      </c>
      <c r="G51" s="114">
        <f>IFERROR(VLOOKUP(B51,'Nora Sciplino'!A$12:P$68,16,0),0)</f>
        <v>8.2664999999999988</v>
      </c>
      <c r="H51" s="114">
        <f>IFERROR(VLOOKUP(B51,Castellotti!A$12:P$66,16,0),0)</f>
        <v>56.429999999999993</v>
      </c>
      <c r="I51" s="115">
        <f>IFERROR(VLOOKUP(B51,Solidarietà!A:P,16,0),0)</f>
        <v>0</v>
      </c>
      <c r="J51" s="114">
        <f>IFERROR(VLOOKUP(B51,Gallarate!A:P,16,0),0)</f>
        <v>50.296399999999998</v>
      </c>
      <c r="K51" s="125">
        <f>IFERROR(VLOOKUP(B51,'Giro del Lario'!A:P,16,0),0)</f>
        <v>0</v>
      </c>
      <c r="L51" s="114">
        <f>IFERROR(VLOOKUP(B51,'Campo dei Fiori'!A:P,16,0),0)</f>
        <v>0</v>
      </c>
      <c r="M51" s="114">
        <f>IFERROR(VLOOKUP(B51,'Erba Ghisallo'!A:P,16,0),0)</f>
        <v>0</v>
      </c>
      <c r="N51" s="114">
        <f>IFERROR(VLOOKUP(B51,Ambrosiano!A:Q,16,0),0)</f>
        <v>0</v>
      </c>
      <c r="O51" s="47">
        <f>IFERROR(VLOOKUP(B51,Presolana!A:Q,16,0),0)</f>
        <v>0</v>
      </c>
      <c r="P51" s="4"/>
      <c r="Q51" s="60">
        <f t="shared" si="8"/>
        <v>114.99289999999999</v>
      </c>
      <c r="R51" s="2"/>
      <c r="S51" s="56">
        <f>COUNTIF(G51:O51,"&lt;&gt;0")</f>
        <v>3</v>
      </c>
      <c r="T51" s="57">
        <f>VLOOKUP(S51,Regolamento!G$6:I$14,3,0)</f>
        <v>1.1000000000000001</v>
      </c>
      <c r="U51" s="2"/>
      <c r="V51" s="117">
        <f t="shared" si="7"/>
        <v>126.49219000000001</v>
      </c>
      <c r="Y51"/>
    </row>
    <row r="52" spans="1:26" x14ac:dyDescent="0.25">
      <c r="A52">
        <v>47</v>
      </c>
      <c r="B52" s="8" t="s">
        <v>302</v>
      </c>
      <c r="C52" s="12" t="str">
        <f>IFERROR(VLOOKUP(B52,concorrenti!A:C,3,0)," ")</f>
        <v>A</v>
      </c>
      <c r="D52" s="12">
        <f>VLOOKUP(B52,concorrenti!A:E,5,0)</f>
        <v>0</v>
      </c>
      <c r="E52" s="12">
        <f>VLOOKUP(B52,concorrenti!A:G,7,0)</f>
        <v>0</v>
      </c>
      <c r="F52" s="12" t="str">
        <f>VLOOKUP(B52,concorrenti!A$1:G$289,2,0)</f>
        <v>OROBICO</v>
      </c>
      <c r="G52" s="47">
        <f>IFERROR(VLOOKUP(B52,'Nora Sciplino'!A$12:P$68,16,0),0)</f>
        <v>0</v>
      </c>
      <c r="H52" s="47">
        <f>IFERROR(VLOOKUP(B52,Castellotti!A$12:P$66,16,0),0)</f>
        <v>0</v>
      </c>
      <c r="I52" s="122">
        <f>IFERROR(VLOOKUP(B52,Solidarietà!A:P,16,0),0)</f>
        <v>99.671000000000006</v>
      </c>
      <c r="J52" s="104">
        <f>SUM(G52:I52)/3*J$5</f>
        <v>26.193538799999999</v>
      </c>
      <c r="K52" s="57">
        <f>IFERROR(VLOOKUP(B52,'Giro del Lario'!A:P,16,0),0)</f>
        <v>0</v>
      </c>
      <c r="L52" s="47">
        <f>IFERROR(VLOOKUP(B52,'Campo dei Fiori'!A:P,16,0),0)</f>
        <v>0</v>
      </c>
      <c r="M52" s="47">
        <f>IFERROR(VLOOKUP(B52,'Erba Ghisallo'!A:P,16,0),0)</f>
        <v>0</v>
      </c>
      <c r="N52" s="47">
        <f>IFERROR(VLOOKUP(B52,Ambrosiano!A:Q,16,0),0)</f>
        <v>0</v>
      </c>
      <c r="O52" s="47">
        <f>IFERROR(VLOOKUP(B52,Presolana!A:Q,16,0),0)</f>
        <v>0</v>
      </c>
      <c r="P52" s="4"/>
      <c r="Q52" s="60">
        <f t="shared" si="8"/>
        <v>125.86453880000001</v>
      </c>
      <c r="S52" s="56">
        <f>COUNTIF(G52:O52,"&lt;&gt;0")-1</f>
        <v>1</v>
      </c>
      <c r="T52" s="57">
        <f>VLOOKUP(S52,Regolamento!G$6:I$14,3,0)</f>
        <v>1</v>
      </c>
      <c r="V52" s="60">
        <f t="shared" si="7"/>
        <v>125.86453880000001</v>
      </c>
      <c r="X52" s="10"/>
      <c r="Z52" s="119"/>
    </row>
    <row r="53" spans="1:26" x14ac:dyDescent="0.25">
      <c r="A53">
        <v>48</v>
      </c>
      <c r="B53" s="8" t="s">
        <v>355</v>
      </c>
      <c r="C53" s="12" t="str">
        <f>IFERROR(VLOOKUP(B53,concorrenti!A:C,3,0)," ")</f>
        <v>C</v>
      </c>
      <c r="D53" s="12">
        <f>VLOOKUP(B53,concorrenti!A:E,5,0)</f>
        <v>0</v>
      </c>
      <c r="E53" s="12">
        <f>VLOOKUP(B53,concorrenti!A:G,7,0)</f>
        <v>0</v>
      </c>
      <c r="F53" s="12" t="str">
        <f>VLOOKUP(B53,concorrenti!A$1:G$289,2,0)</f>
        <v>VCC COMO</v>
      </c>
      <c r="G53" s="47">
        <f>IFERROR(VLOOKUP(B53,'Nora Sciplino'!A$12:P$68,16,0),0)</f>
        <v>0</v>
      </c>
      <c r="H53" s="47">
        <f>IFERROR(VLOOKUP(B53,Castellotti!A$12:P$66,16,0),0)</f>
        <v>0</v>
      </c>
      <c r="I53" s="75">
        <f>IFERROR(VLOOKUP(B53,Solidarietà!A:P,16,0),0)</f>
        <v>0</v>
      </c>
      <c r="J53" s="104">
        <v>0</v>
      </c>
      <c r="K53" s="57">
        <f>IFERROR(VLOOKUP(B53,'Giro del Lario'!A:P,16,0),0)</f>
        <v>65.625</v>
      </c>
      <c r="L53" s="47">
        <f>IFERROR(VLOOKUP(B53,'Campo dei Fiori'!A:P,16,0),0)</f>
        <v>0</v>
      </c>
      <c r="M53" s="47">
        <f>IFERROR(VLOOKUP(B53,'Erba Ghisallo'!A:P,16,0),0)</f>
        <v>39.984000000000002</v>
      </c>
      <c r="N53" s="47">
        <f>IFERROR(VLOOKUP(B53,Ambrosiano!A:Q,16,0),0)</f>
        <v>0</v>
      </c>
      <c r="O53" s="47">
        <f>IFERROR(VLOOKUP(B53,Presolana!A:Q,16,0),0)</f>
        <v>0</v>
      </c>
      <c r="P53" s="4"/>
      <c r="Q53" s="60">
        <f t="shared" si="8"/>
        <v>105.60900000000001</v>
      </c>
      <c r="S53" s="56">
        <f>COUNTIF(G53:O53,"&lt;&gt;0")-1</f>
        <v>1</v>
      </c>
      <c r="T53" s="57">
        <f>VLOOKUP(S53,Regolamento!G$6:I$14,3,0)</f>
        <v>1</v>
      </c>
      <c r="V53" s="60">
        <f t="shared" si="7"/>
        <v>105.60900000000001</v>
      </c>
      <c r="X53" s="10"/>
      <c r="Z53" s="119"/>
    </row>
    <row r="54" spans="1:26" x14ac:dyDescent="0.25">
      <c r="A54">
        <v>49</v>
      </c>
      <c r="B54" s="8" t="s">
        <v>225</v>
      </c>
      <c r="C54" s="12" t="str">
        <f>IFERROR(VLOOKUP(B54,concorrenti!A:C,3,0)," ")</f>
        <v>B</v>
      </c>
      <c r="D54" s="12">
        <f>VLOOKUP(B54,concorrenti!A:E,5,0)</f>
        <v>0</v>
      </c>
      <c r="E54" s="12">
        <f>VLOOKUP(B54,concorrenti!A:G,7,0)</f>
        <v>0</v>
      </c>
      <c r="F54" s="12" t="str">
        <f>VLOOKUP(B54,concorrenti!A$1:G$289,2,0)</f>
        <v>VCC COMO</v>
      </c>
      <c r="G54" s="47">
        <f>IFERROR(VLOOKUP(B54,'Nora Sciplino'!A$12:P$68,16,0),0)</f>
        <v>0</v>
      </c>
      <c r="H54" s="47">
        <f>IFERROR(VLOOKUP(B54,Castellotti!A$12:P$66,16,0),0)</f>
        <v>81.509999999999991</v>
      </c>
      <c r="I54" s="75">
        <f>IFERROR(VLOOKUP(B54,Solidarietà!A:P,16,0),0)</f>
        <v>0</v>
      </c>
      <c r="J54" s="104">
        <f>SUM(G54:I54)/3*J$5</f>
        <v>21.420827999999997</v>
      </c>
      <c r="K54" s="57">
        <f>IFERROR(VLOOKUP(B54,'Giro del Lario'!A:P,16,0),0)</f>
        <v>0</v>
      </c>
      <c r="L54" s="47">
        <f>IFERROR(VLOOKUP(B54,'Campo dei Fiori'!A:P,16,0),0)</f>
        <v>0</v>
      </c>
      <c r="M54" s="47">
        <f>IFERROR(VLOOKUP(B54,'Erba Ghisallo'!A:P,16,0),0)</f>
        <v>0</v>
      </c>
      <c r="N54" s="47">
        <f>IFERROR(VLOOKUP(B54,Ambrosiano!A:Q,16,0),0)</f>
        <v>0</v>
      </c>
      <c r="O54" s="47">
        <f>IFERROR(VLOOKUP(B54,Presolana!A:Q,16,0),0)</f>
        <v>0</v>
      </c>
      <c r="P54" s="4"/>
      <c r="Q54" s="60">
        <f t="shared" si="8"/>
        <v>102.93082799999999</v>
      </c>
      <c r="S54" s="56">
        <f>COUNTIF(G54:O54,"&lt;&gt;0")-1</f>
        <v>1</v>
      </c>
      <c r="T54" s="57">
        <f>VLOOKUP(S54,Regolamento!G$6:I$14,3,0)</f>
        <v>1</v>
      </c>
      <c r="V54" s="60">
        <f t="shared" si="7"/>
        <v>102.93082799999999</v>
      </c>
      <c r="X54" s="10"/>
      <c r="Z54" s="119"/>
    </row>
    <row r="55" spans="1:26" x14ac:dyDescent="0.25">
      <c r="A55">
        <v>50</v>
      </c>
      <c r="B55" s="8" t="s">
        <v>354</v>
      </c>
      <c r="C55" s="12" t="str">
        <f>IFERROR(VLOOKUP(B55,concorrenti!A:C,3,0)," ")</f>
        <v>C</v>
      </c>
      <c r="D55" s="12">
        <f>VLOOKUP(B55,concorrenti!A:E,5,0)</f>
        <v>0</v>
      </c>
      <c r="E55" s="12">
        <f>VLOOKUP(B55,concorrenti!A:G,7,0)</f>
        <v>0</v>
      </c>
      <c r="F55" s="12" t="str">
        <f>VLOOKUP(B55,concorrenti!A$1:G$289,2,0)</f>
        <v>VCC COMO</v>
      </c>
      <c r="G55" s="47">
        <f>IFERROR(VLOOKUP(B55,'Nora Sciplino'!A$12:P$68,16,0),0)</f>
        <v>0</v>
      </c>
      <c r="H55" s="47">
        <f>IFERROR(VLOOKUP(B55,Castellotti!A$12:P$66,16,0),0)</f>
        <v>0</v>
      </c>
      <c r="I55" s="75">
        <f>IFERROR(VLOOKUP(B55,Solidarietà!A:P,16,0),0)</f>
        <v>0</v>
      </c>
      <c r="J55" s="104">
        <v>0</v>
      </c>
      <c r="K55" s="57">
        <f>IFERROR(VLOOKUP(B55,'Giro del Lario'!A:P,16,0),0)</f>
        <v>48.125</v>
      </c>
      <c r="L55" s="47">
        <f>IFERROR(VLOOKUP(B55,'Campo dei Fiori'!A:P,16,0),0)</f>
        <v>0</v>
      </c>
      <c r="M55" s="47">
        <f>IFERROR(VLOOKUP(B55,'Erba Ghisallo'!A:P,16,0),0)</f>
        <v>9.4079999999999995</v>
      </c>
      <c r="N55" s="47">
        <f>IFERROR(VLOOKUP(B55,Ambrosiano!A:Q,16,0),0)</f>
        <v>35.866600000000005</v>
      </c>
      <c r="O55" s="47">
        <f>IFERROR(VLOOKUP(B55,Presolana!A:Q,16,0),0)</f>
        <v>0</v>
      </c>
      <c r="Q55" s="60">
        <f t="shared" si="8"/>
        <v>93.399600000000007</v>
      </c>
      <c r="S55" s="56">
        <f>COUNTIF(G55:O55,"&lt;&gt;0")</f>
        <v>3</v>
      </c>
      <c r="T55" s="57">
        <f>VLOOKUP(S55,Regolamento!G$6:I$14,3,0)</f>
        <v>1.1000000000000001</v>
      </c>
      <c r="V55" s="60">
        <f t="shared" si="7"/>
        <v>102.73956000000001</v>
      </c>
      <c r="X55" s="10"/>
      <c r="Z55" s="119"/>
    </row>
    <row r="56" spans="1:26" x14ac:dyDescent="0.25">
      <c r="A56">
        <v>51</v>
      </c>
      <c r="B56" s="8" t="s">
        <v>82</v>
      </c>
      <c r="C56" s="12" t="str">
        <f>IFERROR(VLOOKUP(B56,concorrenti!A:C,3,0)," ")</f>
        <v>C</v>
      </c>
      <c r="D56" s="12">
        <f>VLOOKUP(B56,concorrenti!A:E,5,0)</f>
        <v>0</v>
      </c>
      <c r="E56" s="12" t="str">
        <f>VLOOKUP(B56,concorrenti!A:G,7,0)</f>
        <v>MECCANICO</v>
      </c>
      <c r="F56" s="12" t="str">
        <f>VLOOKUP(B56,concorrenti!A$1:G$289,2,0)</f>
        <v>VAMS</v>
      </c>
      <c r="G56" s="47">
        <f>IFERROR(VLOOKUP(B56,'Nora Sciplino'!A$12:P$68,16,0),0)</f>
        <v>24.799499999999998</v>
      </c>
      <c r="H56" s="47">
        <f>IFERROR(VLOOKUP(B56,Castellotti!A$12:P$66,16,0),0)</f>
        <v>0</v>
      </c>
      <c r="I56" s="75">
        <f>IFERROR(VLOOKUP(B56,Solidarietà!A:P,16,0),0)</f>
        <v>0</v>
      </c>
      <c r="J56" s="104">
        <f>SUM(G56:I56)/3*J$5</f>
        <v>6.5173085999999989</v>
      </c>
      <c r="K56" s="57">
        <f>IFERROR(VLOOKUP(B56,'Giro del Lario'!A:P,16,0),0)</f>
        <v>0</v>
      </c>
      <c r="L56" s="47">
        <f>IFERROR(VLOOKUP(B56,'Campo dei Fiori'!A:P,16,0),0)</f>
        <v>64.749599999999987</v>
      </c>
      <c r="M56" s="47">
        <f>IFERROR(VLOOKUP(B56,'Erba Ghisallo'!A:P,16,0),0)</f>
        <v>0</v>
      </c>
      <c r="N56" s="47">
        <f>IFERROR(VLOOKUP(B56,Ambrosiano!A:Q,16,0),0)</f>
        <v>0</v>
      </c>
      <c r="O56" s="47">
        <f>IFERROR(VLOOKUP(B56,Presolana!A:Q,16,0),0)</f>
        <v>0</v>
      </c>
      <c r="P56" s="4"/>
      <c r="Q56" s="60">
        <f t="shared" si="8"/>
        <v>96.066408599999988</v>
      </c>
      <c r="S56" s="56">
        <f>COUNTIF(G56:O56,"&lt;&gt;0")-1</f>
        <v>2</v>
      </c>
      <c r="T56" s="57">
        <f>VLOOKUP(S56,Regolamento!G$6:I$14,3,0)</f>
        <v>1.05</v>
      </c>
      <c r="V56" s="60">
        <f t="shared" si="7"/>
        <v>100.86972902999999</v>
      </c>
      <c r="X56" s="10"/>
      <c r="Z56" s="119"/>
    </row>
    <row r="57" spans="1:26" x14ac:dyDescent="0.25">
      <c r="A57">
        <v>52</v>
      </c>
      <c r="B57" s="8" t="s">
        <v>457</v>
      </c>
      <c r="C57" s="12" t="str">
        <f>IFERROR(VLOOKUP(B57,concorrenti!A:C,3,0)," ")</f>
        <v>C</v>
      </c>
      <c r="D57" s="12">
        <f>VLOOKUP(B57,concorrenti!A:E,5,0)</f>
        <v>0</v>
      </c>
      <c r="E57" s="12" t="str">
        <f>VLOOKUP(B57,concorrenti!A:G,7,0)</f>
        <v>MECCANICO</v>
      </c>
      <c r="F57" s="12" t="str">
        <f>VLOOKUP(B57,concorrenti!A$1:G$289,2,0)</f>
        <v>GAMS</v>
      </c>
      <c r="G57" s="47">
        <f>IFERROR(VLOOKUP(B57,'Nora Sciplino'!A$12:P$68,16,0),0)</f>
        <v>1.3777499999999998</v>
      </c>
      <c r="H57" s="47">
        <f>IFERROR(VLOOKUP(B57,Castellotti!A$12:P$66,16,0),0)</f>
        <v>0</v>
      </c>
      <c r="I57" s="75">
        <f>IFERROR(VLOOKUP(B57,Solidarietà!A:P,16,0),0)</f>
        <v>0</v>
      </c>
      <c r="J57" s="104">
        <f>SUM(G57:I57)/3*J$5</f>
        <v>0.36207269999999997</v>
      </c>
      <c r="K57" s="57">
        <f>IFERROR(VLOOKUP(B57,'Giro del Lario'!A:P,16,0),0)</f>
        <v>0</v>
      </c>
      <c r="L57" s="47">
        <f>IFERROR(VLOOKUP(B57,'Campo dei Fiori'!A:P,16,0),0)</f>
        <v>47.858399999999996</v>
      </c>
      <c r="M57" s="47">
        <f>IFERROR(VLOOKUP(B57,'Erba Ghisallo'!A:P,16,0),0)</f>
        <v>4.7039999999999997</v>
      </c>
      <c r="N57" s="47">
        <f>IFERROR(VLOOKUP(B57,Ambrosiano!A:Q,16,0),0)</f>
        <v>31.647000000000006</v>
      </c>
      <c r="O57" s="47">
        <f>IFERROR(VLOOKUP(B57,Presolana!A:Q,16,0),0)</f>
        <v>0</v>
      </c>
      <c r="P57" s="4"/>
      <c r="Q57" s="60">
        <f t="shared" si="8"/>
        <v>85.949222700000007</v>
      </c>
      <c r="S57" s="56">
        <f>COUNTIF(G57:O57,"&lt;&gt;0")-1</f>
        <v>4</v>
      </c>
      <c r="T57" s="57">
        <f>VLOOKUP(S57,Regolamento!G$6:I$14,3,0)</f>
        <v>1.1499999999999999</v>
      </c>
      <c r="V57" s="60">
        <f t="shared" si="7"/>
        <v>98.841606104999997</v>
      </c>
      <c r="X57" s="10"/>
      <c r="Z57" s="119"/>
    </row>
    <row r="58" spans="1:26" x14ac:dyDescent="0.25">
      <c r="A58">
        <v>53</v>
      </c>
      <c r="B58" s="8" t="s">
        <v>448</v>
      </c>
      <c r="C58" s="12" t="str">
        <f>IFERROR(VLOOKUP(B58,concorrenti!A:C,3,0)," ")</f>
        <v>B</v>
      </c>
      <c r="D58" s="12">
        <f>VLOOKUP(B58,concorrenti!A:E,5,0)</f>
        <v>0</v>
      </c>
      <c r="E58" s="12">
        <f>VLOOKUP(B58,concorrenti!A:G,7,0)</f>
        <v>0</v>
      </c>
      <c r="F58" s="12" t="str">
        <f>VLOOKUP(B58,concorrenti!A$1:G$289,2,0)</f>
        <v>VAMS</v>
      </c>
      <c r="G58" s="47">
        <f>IFERROR(VLOOKUP(B58,'Nora Sciplino'!A$12:P$68,16,0),0)</f>
        <v>0</v>
      </c>
      <c r="H58" s="47">
        <f>IFERROR(VLOOKUP(B58,Castellotti!A$12:P$66,16,0),0)</f>
        <v>0</v>
      </c>
      <c r="I58" s="75">
        <f>IFERROR(VLOOKUP(B58,Solidarietà!A:P,16,0),0)</f>
        <v>0</v>
      </c>
      <c r="J58" s="104">
        <v>0</v>
      </c>
      <c r="K58" s="57">
        <f>IFERROR(VLOOKUP(B58,'Giro del Lario'!A:P,16,0),0)</f>
        <v>0</v>
      </c>
      <c r="L58" s="47">
        <f>IFERROR(VLOOKUP(B58,'Campo dei Fiori'!A:P,16,0),0)</f>
        <v>98.531999999999982</v>
      </c>
      <c r="M58" s="47">
        <f>IFERROR(VLOOKUP(B58,'Erba Ghisallo'!A:P,16,0),0)</f>
        <v>0</v>
      </c>
      <c r="N58" s="47">
        <f>IFERROR(VLOOKUP(B58,Ambrosiano!A:Q,16,0),0)</f>
        <v>0</v>
      </c>
      <c r="O58" s="47">
        <f>IFERROR(VLOOKUP(B58,Presolana!A:Q,16,0),0)</f>
        <v>0</v>
      </c>
      <c r="P58" s="4"/>
      <c r="Q58" s="60">
        <f t="shared" si="8"/>
        <v>98.531999999999982</v>
      </c>
      <c r="S58" s="56">
        <f>COUNTIF(G58:O58,"&lt;&gt;0")</f>
        <v>1</v>
      </c>
      <c r="T58" s="57">
        <f>VLOOKUP(S58,Regolamento!G$6:I$14,3,0)</f>
        <v>1</v>
      </c>
      <c r="V58" s="60">
        <f t="shared" si="7"/>
        <v>98.531999999999982</v>
      </c>
      <c r="X58" s="10"/>
      <c r="Z58" s="119"/>
    </row>
    <row r="59" spans="1:26" x14ac:dyDescent="0.25">
      <c r="A59">
        <v>54</v>
      </c>
      <c r="B59" s="8" t="s">
        <v>485</v>
      </c>
      <c r="C59" s="12" t="str">
        <f>IFERROR(VLOOKUP(B59,concorrenti!A:C,3,0)," ")</f>
        <v>C</v>
      </c>
      <c r="D59" s="12">
        <f>VLOOKUP(B59,concorrenti!A:E,5,0)</f>
        <v>0</v>
      </c>
      <c r="E59" s="12">
        <f>VLOOKUP(B59,concorrenti!A:G,7,0)</f>
        <v>0</v>
      </c>
      <c r="F59" s="12" t="str">
        <f>VLOOKUP(B59,concorrenti!A$1:G$289,2,0)</f>
        <v>OROBICO</v>
      </c>
      <c r="G59" s="47">
        <f>IFERROR(VLOOKUP(B59,'Nora Sciplino'!A$12:P$68,16,0),0)</f>
        <v>0</v>
      </c>
      <c r="H59" s="47">
        <f>IFERROR(VLOOKUP(B59,Castellotti!A$12:P$66,16,0),0)</f>
        <v>0</v>
      </c>
      <c r="I59" s="75">
        <f>IFERROR(VLOOKUP(B59,Solidarietà!A:P,16,0),0)</f>
        <v>0</v>
      </c>
      <c r="J59" s="47">
        <f>IFERROR(VLOOKUP(B59,Gallarate!A:P,16,0),0)</f>
        <v>0</v>
      </c>
      <c r="K59" s="57">
        <f>IFERROR(VLOOKUP(B59,'Giro del Lario'!A:P,16,0),0)</f>
        <v>0</v>
      </c>
      <c r="L59" s="47">
        <f>IFERROR(VLOOKUP(B59,'Campo dei Fiori'!A:P,16,0),0)</f>
        <v>0</v>
      </c>
      <c r="M59" s="47">
        <f>IFERROR(VLOOKUP(B59,'Erba Ghisallo'!A:P,16,0),0)</f>
        <v>23.52</v>
      </c>
      <c r="N59" s="47">
        <f>IFERROR(VLOOKUP(B59,Ambrosiano!A:Q,16,0),0)</f>
        <v>0</v>
      </c>
      <c r="O59" s="47">
        <f>IFERROR(VLOOKUP(B59,Presolana!A:Q,16,0),0)</f>
        <v>68.509999999999991</v>
      </c>
      <c r="P59" s="4"/>
      <c r="Q59" s="60">
        <f t="shared" si="8"/>
        <v>92.029999999999987</v>
      </c>
      <c r="S59" s="56">
        <f>COUNTIF(G59:O59,"&lt;&gt;0")</f>
        <v>2</v>
      </c>
      <c r="T59" s="57">
        <f>VLOOKUP(S59,Regolamento!G$6:I$14,3,0)</f>
        <v>1.05</v>
      </c>
      <c r="V59" s="60">
        <f t="shared" si="7"/>
        <v>96.631499999999988</v>
      </c>
      <c r="Y59"/>
    </row>
    <row r="60" spans="1:26" x14ac:dyDescent="0.25">
      <c r="A60">
        <v>55</v>
      </c>
      <c r="B60" s="80" t="s">
        <v>566</v>
      </c>
      <c r="C60" s="12" t="str">
        <f>IFERROR(VLOOKUP(B60,concorrenti!A:C,3,0)," ")</f>
        <v>A</v>
      </c>
      <c r="D60" s="12">
        <f>VLOOKUP(B60,concorrenti!A:E,5,0)</f>
        <v>0</v>
      </c>
      <c r="E60" s="12">
        <f>VLOOKUP(B60,concorrenti!A:G,7,0)</f>
        <v>0</v>
      </c>
      <c r="F60" s="12" t="str">
        <f>VLOOKUP(B60,concorrenti!A$1:G$289,2,0)</f>
        <v>VAMS</v>
      </c>
      <c r="G60" s="47">
        <f>IFERROR(VLOOKUP(B60,'Nora Sciplino'!A$12:P$68,16,0),0)</f>
        <v>0</v>
      </c>
      <c r="H60" s="47">
        <f>IFERROR(VLOOKUP(B60,Castellotti!A$12:P$66,16,0),0)</f>
        <v>0</v>
      </c>
      <c r="I60" s="75">
        <f>IFERROR(VLOOKUP(B60,Solidarietà!A:P,16,0),0)</f>
        <v>0</v>
      </c>
      <c r="J60" s="47">
        <f>IFERROR(VLOOKUP(B60,Gallarate!A:P,16,0),0)</f>
        <v>0</v>
      </c>
      <c r="K60" s="57">
        <f>IFERROR(VLOOKUP(B60,'Giro del Lario'!A:P,16,0),0)</f>
        <v>0</v>
      </c>
      <c r="L60" s="47">
        <f>IFERROR(VLOOKUP(B60,'Campo dei Fiori'!A:P,16,0),0)</f>
        <v>0</v>
      </c>
      <c r="M60" s="47">
        <f>IFERROR(VLOOKUP(B60,'Erba Ghisallo'!A:P,16,0),0)</f>
        <v>0</v>
      </c>
      <c r="N60" s="47">
        <f>IFERROR(VLOOKUP(B60,Ambrosiano!A:Q,16,0),0)</f>
        <v>0</v>
      </c>
      <c r="O60" s="47">
        <f>IFERROR(VLOOKUP(B60,Presolana!A:Q,16,0),0)</f>
        <v>94.86</v>
      </c>
      <c r="P60" s="4"/>
      <c r="Q60" s="60">
        <f t="shared" si="8"/>
        <v>94.86</v>
      </c>
      <c r="S60" s="56">
        <f>COUNTIF(G60:O60,"&lt;&gt;0")</f>
        <v>1</v>
      </c>
      <c r="T60" s="57">
        <f>VLOOKUP(S60,Regolamento!G$6:I$14,3,0)</f>
        <v>1</v>
      </c>
      <c r="V60" s="60">
        <f t="shared" si="7"/>
        <v>94.86</v>
      </c>
      <c r="Y60"/>
    </row>
    <row r="61" spans="1:26" x14ac:dyDescent="0.25">
      <c r="A61">
        <v>56</v>
      </c>
      <c r="B61" s="8" t="s">
        <v>223</v>
      </c>
      <c r="C61" s="12" t="str">
        <f>IFERROR(VLOOKUP(B61,concorrenti!A:C,3,0)," ")</f>
        <v>B</v>
      </c>
      <c r="D61" s="12">
        <f>VLOOKUP(B61,concorrenti!A:E,5,0)</f>
        <v>0</v>
      </c>
      <c r="E61" s="12">
        <f>VLOOKUP(B61,concorrenti!A:G,7,0)</f>
        <v>0</v>
      </c>
      <c r="F61" s="12" t="str">
        <f>VLOOKUP(B61,concorrenti!A$1:G$289,2,0)</f>
        <v>VCC COMO</v>
      </c>
      <c r="G61" s="47">
        <f>IFERROR(VLOOKUP(B61,'Nora Sciplino'!A$12:P$68,16,0),0)</f>
        <v>0</v>
      </c>
      <c r="H61" s="47">
        <f>IFERROR(VLOOKUP(B61,Castellotti!A$12:P$66,16,0),0)</f>
        <v>72.10499999999999</v>
      </c>
      <c r="I61" s="75">
        <f>IFERROR(VLOOKUP(B61,Solidarietà!A:P,16,0),0)</f>
        <v>0</v>
      </c>
      <c r="J61" s="104">
        <f>SUM(G61:I61)/3*J$5</f>
        <v>18.949193999999999</v>
      </c>
      <c r="K61" s="57">
        <f>IFERROR(VLOOKUP(B61,'Giro del Lario'!A:P,16,0),0)</f>
        <v>0</v>
      </c>
      <c r="L61" s="47">
        <f>IFERROR(VLOOKUP(B61,'Campo dei Fiori'!A:P,16,0),0)</f>
        <v>0</v>
      </c>
      <c r="M61" s="47">
        <f>IFERROR(VLOOKUP(B61,'Erba Ghisallo'!A:P,16,0),0)</f>
        <v>0</v>
      </c>
      <c r="N61" s="47">
        <f>IFERROR(VLOOKUP(B61,Ambrosiano!A:Q,16,0),0)</f>
        <v>0</v>
      </c>
      <c r="O61" s="47">
        <f>IFERROR(VLOOKUP(B61,Presolana!A:Q,16,0),0)</f>
        <v>0</v>
      </c>
      <c r="Q61" s="60">
        <f t="shared" si="8"/>
        <v>91.054193999999995</v>
      </c>
      <c r="S61" s="56">
        <f>COUNTIF(G61:O61,"&lt;&gt;0")-1</f>
        <v>1</v>
      </c>
      <c r="T61" s="57">
        <f>VLOOKUP(S61,Regolamento!G$6:I$14,3,0)</f>
        <v>1</v>
      </c>
      <c r="V61" s="60">
        <f t="shared" si="7"/>
        <v>91.054193999999995</v>
      </c>
      <c r="X61" s="10"/>
      <c r="Z61" s="119"/>
    </row>
    <row r="62" spans="1:26" x14ac:dyDescent="0.25">
      <c r="A62">
        <v>57</v>
      </c>
      <c r="B62" s="8" t="s">
        <v>30</v>
      </c>
      <c r="C62" s="12" t="str">
        <f>IFERROR(VLOOKUP(B62,concorrenti!A:C,3,0)," ")</f>
        <v>C</v>
      </c>
      <c r="D62" s="12">
        <f>VLOOKUP(B62,concorrenti!A:E,5,0)</f>
        <v>0</v>
      </c>
      <c r="E62" s="12">
        <f>VLOOKUP(B62,concorrenti!A:G,7,0)</f>
        <v>0</v>
      </c>
      <c r="F62" s="12" t="str">
        <f>VLOOKUP(B62,concorrenti!A$1:G$289,2,0)</f>
        <v>VAMS</v>
      </c>
      <c r="G62" s="47">
        <f>IFERROR(VLOOKUP(B62,'Nora Sciplino'!A$12:P$68,16,0),0)</f>
        <v>30.310499999999998</v>
      </c>
      <c r="H62" s="47">
        <f>IFERROR(VLOOKUP(B62,Castellotti!A$12:P$66,16,0),0)</f>
        <v>0</v>
      </c>
      <c r="I62" s="75">
        <f>IFERROR(VLOOKUP(B62,Solidarietà!A:P,16,0),0)</f>
        <v>0</v>
      </c>
      <c r="J62" s="47">
        <f>IFERROR(VLOOKUP(B62,Gallarate!A:P,16,0),0)</f>
        <v>54.67</v>
      </c>
      <c r="K62" s="57">
        <f>IFERROR(VLOOKUP(B62,'Giro del Lario'!A:P,16,0),0)</f>
        <v>0</v>
      </c>
      <c r="L62" s="47">
        <f>IFERROR(VLOOKUP(B62,'Campo dei Fiori'!A:P,16,0),0)</f>
        <v>0</v>
      </c>
      <c r="M62" s="47">
        <f>IFERROR(VLOOKUP(B62,'Erba Ghisallo'!A:P,16,0),0)</f>
        <v>0</v>
      </c>
      <c r="N62" s="47">
        <f>IFERROR(VLOOKUP(B62,Ambrosiano!A:Q,16,0),0)</f>
        <v>0</v>
      </c>
      <c r="O62" s="47">
        <f>IFERROR(VLOOKUP(B62,Presolana!A:Q,16,0),0)</f>
        <v>0</v>
      </c>
      <c r="Q62" s="60">
        <f t="shared" si="8"/>
        <v>84.980500000000006</v>
      </c>
      <c r="S62" s="56">
        <f>COUNTIF(G62:O62,"&lt;&gt;0")</f>
        <v>2</v>
      </c>
      <c r="T62" s="57">
        <f>VLOOKUP(S62,Regolamento!G$6:I$14,3,0)</f>
        <v>1.05</v>
      </c>
      <c r="V62" s="60">
        <f t="shared" si="7"/>
        <v>89.22952500000001</v>
      </c>
      <c r="X62" s="10"/>
      <c r="Z62" s="119"/>
    </row>
    <row r="63" spans="1:26" x14ac:dyDescent="0.25">
      <c r="A63">
        <v>58</v>
      </c>
      <c r="B63" s="8" t="s">
        <v>380</v>
      </c>
      <c r="C63" s="12" t="str">
        <f>IFERROR(VLOOKUP(B63,concorrenti!A:C,3,0)," ")</f>
        <v>C</v>
      </c>
      <c r="D63" s="12">
        <f>VLOOKUP(B63,concorrenti!A:E,5,0)</f>
        <v>0</v>
      </c>
      <c r="E63" s="12" t="str">
        <f>VLOOKUP(B63,concorrenti!A:G,7,0)</f>
        <v>MECCANICO</v>
      </c>
      <c r="F63" s="12" t="str">
        <f>VLOOKUP(B63,concorrenti!A$1:G$289,2,0)</f>
        <v>GAMS</v>
      </c>
      <c r="G63" s="47">
        <f>IFERROR(VLOOKUP(B63,'Nora Sciplino'!A$12:P$68,16,0),0)</f>
        <v>5.5109999999999992</v>
      </c>
      <c r="H63" s="47">
        <f>IFERROR(VLOOKUP(B63,Castellotti!A$12:P$66,16,0),0)</f>
        <v>0</v>
      </c>
      <c r="I63" s="75">
        <f>IFERROR(VLOOKUP(B63,Solidarietà!A:P,16,0),0)</f>
        <v>0</v>
      </c>
      <c r="J63" s="47">
        <f>IFERROR(VLOOKUP(B63,Gallarate!A:P,16,0),0)</f>
        <v>41.549199999999999</v>
      </c>
      <c r="K63" s="57">
        <f>IFERROR(VLOOKUP(B63,'Giro del Lario'!A:P,16,0),0)</f>
        <v>0</v>
      </c>
      <c r="L63" s="47">
        <f>IFERROR(VLOOKUP(B63,'Campo dei Fiori'!A:P,16,0),0)</f>
        <v>0</v>
      </c>
      <c r="M63" s="47">
        <f>IFERROR(VLOOKUP(B63,'Erba Ghisallo'!A:P,16,0),0)</f>
        <v>0</v>
      </c>
      <c r="N63" s="47">
        <f>IFERROR(VLOOKUP(B63,Ambrosiano!A:Q,16,0),0)</f>
        <v>33.756800000000005</v>
      </c>
      <c r="O63" s="47">
        <f>IFERROR(VLOOKUP(B63,Presolana!A:Q,16,0),0)</f>
        <v>0</v>
      </c>
      <c r="P63" s="4"/>
      <c r="Q63" s="60">
        <f t="shared" si="8"/>
        <v>80.817000000000007</v>
      </c>
      <c r="S63" s="56">
        <f>COUNTIF(G63:O63,"&lt;&gt;0")</f>
        <v>3</v>
      </c>
      <c r="T63" s="57">
        <f>VLOOKUP(S63,Regolamento!G$6:I$14,3,0)</f>
        <v>1.1000000000000001</v>
      </c>
      <c r="V63" s="60">
        <f t="shared" si="7"/>
        <v>88.898700000000019</v>
      </c>
      <c r="X63" s="10"/>
      <c r="Z63" s="119"/>
    </row>
    <row r="64" spans="1:26" x14ac:dyDescent="0.25">
      <c r="A64">
        <v>59</v>
      </c>
      <c r="B64" s="8" t="s">
        <v>214</v>
      </c>
      <c r="C64" s="12" t="str">
        <f>IFERROR(VLOOKUP(B64,concorrenti!A:C,3,0)," ")</f>
        <v>B</v>
      </c>
      <c r="D64" s="12">
        <f>VLOOKUP(B64,concorrenti!A:E,5,0)</f>
        <v>0</v>
      </c>
      <c r="E64" s="12">
        <f>VLOOKUP(B64,concorrenti!A:G,7,0)</f>
        <v>0</v>
      </c>
      <c r="F64" s="12" t="str">
        <f>VLOOKUP(B64,concorrenti!A$1:G$289,2,0)</f>
        <v>CLASSIC CLUB ITALIA</v>
      </c>
      <c r="G64" s="47">
        <f>IFERROR(VLOOKUP(B64,'Nora Sciplino'!A$12:P$68,16,0),0)</f>
        <v>0</v>
      </c>
      <c r="H64" s="47">
        <f>IFERROR(VLOOKUP(B64,Castellotti!A$12:P$66,16,0),0)</f>
        <v>68.969999999999985</v>
      </c>
      <c r="I64" s="75">
        <f>IFERROR(VLOOKUP(B64,Solidarietà!A:P,16,0),0)</f>
        <v>0</v>
      </c>
      <c r="J64" s="104">
        <f>SUM(G64:I64)/3*J$5</f>
        <v>18.125315999999994</v>
      </c>
      <c r="K64" s="57">
        <f>IFERROR(VLOOKUP(B64,'Giro del Lario'!A:P,16,0),0)</f>
        <v>0</v>
      </c>
      <c r="L64" s="47">
        <f>IFERROR(VLOOKUP(B64,'Campo dei Fiori'!A:P,16,0),0)</f>
        <v>0</v>
      </c>
      <c r="M64" s="47">
        <f>IFERROR(VLOOKUP(B64,'Erba Ghisallo'!A:P,16,0),0)</f>
        <v>0</v>
      </c>
      <c r="N64" s="47">
        <f>IFERROR(VLOOKUP(B64,Ambrosiano!A:Q,16,0),0)</f>
        <v>0</v>
      </c>
      <c r="O64" s="47">
        <f>IFERROR(VLOOKUP(B64,Presolana!A:Q,16,0),0)</f>
        <v>0</v>
      </c>
      <c r="P64" s="4"/>
      <c r="Q64" s="60">
        <f t="shared" si="8"/>
        <v>87.095315999999983</v>
      </c>
      <c r="S64" s="56">
        <f>COUNTIF(G64:O64,"&lt;&gt;0")-1</f>
        <v>1</v>
      </c>
      <c r="T64" s="57">
        <f>VLOOKUP(S64,Regolamento!G$6:I$14,3,0)</f>
        <v>1</v>
      </c>
      <c r="V64" s="60">
        <f t="shared" si="7"/>
        <v>87.095315999999983</v>
      </c>
      <c r="X64" s="10"/>
      <c r="Z64" s="119"/>
    </row>
    <row r="65" spans="1:26" x14ac:dyDescent="0.25">
      <c r="A65">
        <v>60</v>
      </c>
      <c r="B65" s="8" t="s">
        <v>346</v>
      </c>
      <c r="C65" s="12" t="str">
        <f>IFERROR(VLOOKUP(B65,concorrenti!A:C,3,0)," ")</f>
        <v>A</v>
      </c>
      <c r="D65" s="12">
        <f>VLOOKUP(B65,concorrenti!A:E,5,0)</f>
        <v>0</v>
      </c>
      <c r="E65" s="12">
        <f>VLOOKUP(B65,concorrenti!A:G,7,0)</f>
        <v>0</v>
      </c>
      <c r="F65" s="12" t="str">
        <f>VLOOKUP(B65,concorrenti!A$1:G$289,2,0)</f>
        <v>CMAE</v>
      </c>
      <c r="G65" s="47">
        <f>IFERROR(VLOOKUP(B65,'Nora Sciplino'!A$12:P$68,16,0),0)</f>
        <v>0</v>
      </c>
      <c r="H65" s="47">
        <f>IFERROR(VLOOKUP(B65,Castellotti!A$12:P$66,16,0),0)</f>
        <v>0</v>
      </c>
      <c r="I65" s="75">
        <f>IFERROR(VLOOKUP(B65,Solidarietà!A:P,16,0),0)</f>
        <v>0</v>
      </c>
      <c r="J65" s="104">
        <v>0</v>
      </c>
      <c r="K65" s="57">
        <f>IFERROR(VLOOKUP(B65,'Giro del Lario'!A:P,16,0),0)</f>
        <v>83.125</v>
      </c>
      <c r="L65" s="47">
        <f>IFERROR(VLOOKUP(B65,'Campo dei Fiori'!A:P,16,0),0)</f>
        <v>0</v>
      </c>
      <c r="M65" s="47">
        <f>IFERROR(VLOOKUP(B65,'Erba Ghisallo'!A:P,16,0),0)</f>
        <v>0</v>
      </c>
      <c r="N65" s="47">
        <f>IFERROR(VLOOKUP(B65,Ambrosiano!A:Q,16,0),0)</f>
        <v>0</v>
      </c>
      <c r="O65" s="47">
        <f>IFERROR(VLOOKUP(B65,Presolana!A:Q,16,0),0)</f>
        <v>0</v>
      </c>
      <c r="P65" s="4"/>
      <c r="Q65" s="60">
        <f t="shared" si="8"/>
        <v>83.125</v>
      </c>
      <c r="S65" s="56">
        <f>COUNTIF(G65:O65,"&lt;&gt;0")</f>
        <v>1</v>
      </c>
      <c r="T65" s="57">
        <f>VLOOKUP(S65,Regolamento!G$6:I$14,3,0)</f>
        <v>1</v>
      </c>
      <c r="V65" s="60">
        <f t="shared" si="7"/>
        <v>83.125</v>
      </c>
      <c r="X65" s="10"/>
      <c r="Z65" s="119"/>
    </row>
    <row r="66" spans="1:26" x14ac:dyDescent="0.25">
      <c r="A66">
        <v>61</v>
      </c>
      <c r="B66" s="8" t="s">
        <v>77</v>
      </c>
      <c r="C66" s="12" t="str">
        <f>IFERROR(VLOOKUP(B66,concorrenti!A:C,3,0)," ")</f>
        <v>B</v>
      </c>
      <c r="D66" s="12">
        <f>VLOOKUP(B66,concorrenti!A:E,5,0)</f>
        <v>0</v>
      </c>
      <c r="E66" s="12">
        <f>VLOOKUP(B66,concorrenti!A:G,7,0)</f>
        <v>0</v>
      </c>
      <c r="F66" s="12" t="str">
        <f>VLOOKUP(B66,concorrenti!A$1:G$289,2,0)</f>
        <v>VAMS</v>
      </c>
      <c r="G66" s="47">
        <f>IFERROR(VLOOKUP(B66,'Nora Sciplino'!A$12:P$68,16,0),0)</f>
        <v>63.376499999999993</v>
      </c>
      <c r="H66" s="47">
        <f>IFERROR(VLOOKUP(B66,Castellotti!A$12:P$66,16,0),0)</f>
        <v>0</v>
      </c>
      <c r="I66" s="75">
        <f>IFERROR(VLOOKUP(B66,Solidarietà!A:P,16,0),0)</f>
        <v>0</v>
      </c>
      <c r="J66" s="104">
        <f>SUM(G66:I66)/3*J$5</f>
        <v>16.655344199999998</v>
      </c>
      <c r="K66" s="57">
        <f>IFERROR(VLOOKUP(B66,'Giro del Lario'!A:P,16,0),0)</f>
        <v>0</v>
      </c>
      <c r="L66" s="47">
        <f>IFERROR(VLOOKUP(B66,'Campo dei Fiori'!A:P,16,0),0)</f>
        <v>0</v>
      </c>
      <c r="M66" s="47">
        <f>IFERROR(VLOOKUP(B66,'Erba Ghisallo'!A:P,16,0),0)</f>
        <v>0</v>
      </c>
      <c r="N66" s="47">
        <f>IFERROR(VLOOKUP(B66,Ambrosiano!A:Q,16,0),0)</f>
        <v>0</v>
      </c>
      <c r="O66" s="47">
        <f>IFERROR(VLOOKUP(B66,Presolana!A:Q,16,0),0)</f>
        <v>0</v>
      </c>
      <c r="Q66" s="60">
        <f t="shared" si="8"/>
        <v>80.031844199999995</v>
      </c>
      <c r="S66" s="56">
        <f>COUNTIF(G66:O66,"&lt;&gt;0")-1</f>
        <v>1</v>
      </c>
      <c r="T66" s="57">
        <f>VLOOKUP(S66,Regolamento!G$6:I$14,3,0)</f>
        <v>1</v>
      </c>
      <c r="V66" s="60">
        <f t="shared" si="7"/>
        <v>80.031844199999995</v>
      </c>
      <c r="X66" s="10"/>
      <c r="Z66" s="119"/>
    </row>
    <row r="67" spans="1:26" x14ac:dyDescent="0.25">
      <c r="A67">
        <v>62</v>
      </c>
      <c r="B67" s="8" t="s">
        <v>215</v>
      </c>
      <c r="C67" s="12" t="str">
        <f>IFERROR(VLOOKUP(B67,concorrenti!A:C,3,0)," ")</f>
        <v>C</v>
      </c>
      <c r="D67" s="12">
        <f>VLOOKUP(B67,concorrenti!A:E,5,0)</f>
        <v>0</v>
      </c>
      <c r="E67" s="12">
        <f>VLOOKUP(B67,concorrenti!A:G,7,0)</f>
        <v>0</v>
      </c>
      <c r="F67" s="12" t="str">
        <f>VLOOKUP(B67,concorrenti!A$1:G$289,2,0)</f>
        <v>CLASSIC CLUB ITALIA</v>
      </c>
      <c r="G67" s="47">
        <f>IFERROR(VLOOKUP(B67,'Nora Sciplino'!A$12:P$68,16,0),0)</f>
        <v>0</v>
      </c>
      <c r="H67" s="47">
        <f>IFERROR(VLOOKUP(B67,Castellotti!A$12:P$66,16,0),0)</f>
        <v>1.5674999999999999</v>
      </c>
      <c r="I67" s="75">
        <f>IFERROR(VLOOKUP(B67,Solidarietà!A:P,16,0),0)</f>
        <v>31.602999999999994</v>
      </c>
      <c r="J67" s="104">
        <f>SUM(G67:I67)/3*J$5</f>
        <v>8.7172073999999995</v>
      </c>
      <c r="K67" s="57">
        <f>IFERROR(VLOOKUP(B67,'Giro del Lario'!A:P,16,0),0)</f>
        <v>0</v>
      </c>
      <c r="L67" s="47">
        <f>IFERROR(VLOOKUP(B67,'Campo dei Fiori'!A:P,16,0),0)</f>
        <v>0</v>
      </c>
      <c r="M67" s="47">
        <f>IFERROR(VLOOKUP(B67,'Erba Ghisallo'!A:P,16,0),0)</f>
        <v>1.1759999999999999</v>
      </c>
      <c r="N67" s="47">
        <f>IFERROR(VLOOKUP(B67,Ambrosiano!A:Q,16,0),0)</f>
        <v>0</v>
      </c>
      <c r="O67" s="47">
        <f>IFERROR(VLOOKUP(B67,Presolana!A:Q,16,0),0)</f>
        <v>26.35</v>
      </c>
      <c r="P67" s="4"/>
      <c r="Q67" s="60">
        <f t="shared" si="8"/>
        <v>69.413707399999993</v>
      </c>
      <c r="S67" s="56">
        <f>COUNTIF(G67:O67,"&lt;&gt;0")-1</f>
        <v>4</v>
      </c>
      <c r="T67" s="57">
        <f>VLOOKUP(S67,Regolamento!G$6:I$14,3,0)</f>
        <v>1.1499999999999999</v>
      </c>
      <c r="V67" s="60">
        <f t="shared" si="7"/>
        <v>79.825763509999987</v>
      </c>
      <c r="X67" s="10"/>
      <c r="Z67" s="119"/>
    </row>
    <row r="68" spans="1:26" x14ac:dyDescent="0.25">
      <c r="A68">
        <v>63</v>
      </c>
      <c r="B68" s="8" t="s">
        <v>449</v>
      </c>
      <c r="C68" s="12" t="str">
        <f>IFERROR(VLOOKUP(B68,concorrenti!A:C,3,0)," ")</f>
        <v>B</v>
      </c>
      <c r="D68" s="12">
        <f>VLOOKUP(B68,concorrenti!A:E,5,0)</f>
        <v>0</v>
      </c>
      <c r="E68" s="12">
        <f>VLOOKUP(B68,concorrenti!A:G,7,0)</f>
        <v>0</v>
      </c>
      <c r="F68" s="12" t="str">
        <f>VLOOKUP(B68,concorrenti!A$1:G$289,2,0)</f>
        <v>VAMS</v>
      </c>
      <c r="G68" s="47">
        <f>IFERROR(VLOOKUP(B68,'Nora Sciplino'!A$12:P$68,16,0),0)</f>
        <v>0</v>
      </c>
      <c r="H68" s="47">
        <f>IFERROR(VLOOKUP(B68,Castellotti!A$12:P$66,16,0),0)</f>
        <v>0</v>
      </c>
      <c r="I68" s="75">
        <f>IFERROR(VLOOKUP(B68,Solidarietà!A:P,16,0),0)</f>
        <v>0</v>
      </c>
      <c r="J68" s="104">
        <v>0</v>
      </c>
      <c r="K68" s="57">
        <f>IFERROR(VLOOKUP(B68,'Giro del Lario'!A:P,16,0),0)</f>
        <v>0</v>
      </c>
      <c r="L68" s="47">
        <f>IFERROR(VLOOKUP(B68,'Campo dei Fiori'!A:P,16,0),0)</f>
        <v>78.825599999999994</v>
      </c>
      <c r="M68" s="47">
        <f>IFERROR(VLOOKUP(B68,'Erba Ghisallo'!A:P,16,0),0)</f>
        <v>0</v>
      </c>
      <c r="N68" s="47">
        <f>IFERROR(VLOOKUP(B68,Ambrosiano!A:Q,16,0),0)</f>
        <v>0</v>
      </c>
      <c r="O68" s="47">
        <f>IFERROR(VLOOKUP(B68,Presolana!A:Q,16,0),0)</f>
        <v>0</v>
      </c>
      <c r="P68" s="4"/>
      <c r="Q68" s="60">
        <f t="shared" si="8"/>
        <v>78.825599999999994</v>
      </c>
      <c r="S68" s="56">
        <f>COUNTIF(G68:O68,"&lt;&gt;0")</f>
        <v>1</v>
      </c>
      <c r="T68" s="57">
        <f>VLOOKUP(S68,Regolamento!G$6:I$14,3,0)</f>
        <v>1</v>
      </c>
      <c r="V68" s="60">
        <f t="shared" si="7"/>
        <v>78.825599999999994</v>
      </c>
      <c r="X68" s="10"/>
      <c r="Z68" s="119"/>
    </row>
    <row r="69" spans="1:26" x14ac:dyDescent="0.25">
      <c r="A69">
        <v>64</v>
      </c>
      <c r="B69" s="80" t="s">
        <v>567</v>
      </c>
      <c r="C69" s="12" t="str">
        <f>IFERROR(VLOOKUP(B69,concorrenti!A:C,3,0)," ")</f>
        <v>B</v>
      </c>
      <c r="D69" s="12">
        <f>VLOOKUP(B69,concorrenti!A:E,5,0)</f>
        <v>0</v>
      </c>
      <c r="E69" s="12">
        <f>VLOOKUP(B69,concorrenti!A:G,7,0)</f>
        <v>0</v>
      </c>
      <c r="F69" s="12" t="str">
        <f>VLOOKUP(B69,concorrenti!A$1:G$289,2,0)</f>
        <v>OROBICO</v>
      </c>
      <c r="G69" s="47">
        <f>IFERROR(VLOOKUP(B69,'Nora Sciplino'!A$12:P$68,16,0),0)</f>
        <v>0</v>
      </c>
      <c r="H69" s="47">
        <f>IFERROR(VLOOKUP(B69,Castellotti!A$12:P$66,16,0),0)</f>
        <v>0</v>
      </c>
      <c r="I69" s="75">
        <f>IFERROR(VLOOKUP(B69,Solidarietà!A:P,16,0),0)</f>
        <v>0</v>
      </c>
      <c r="J69" s="47">
        <f>IFERROR(VLOOKUP(B69,Gallarate!A:P,16,0),0)</f>
        <v>0</v>
      </c>
      <c r="K69" s="57">
        <f>IFERROR(VLOOKUP(B69,'Giro del Lario'!A:P,16,0),0)</f>
        <v>0</v>
      </c>
      <c r="L69" s="47">
        <f>IFERROR(VLOOKUP(B69,'Campo dei Fiori'!A:P,16,0),0)</f>
        <v>0</v>
      </c>
      <c r="M69" s="47">
        <f>IFERROR(VLOOKUP(B69,'Erba Ghisallo'!A:P,16,0),0)</f>
        <v>0</v>
      </c>
      <c r="N69" s="47">
        <f>IFERROR(VLOOKUP(B69,Ambrosiano!A:Q,16,0),0)</f>
        <v>0</v>
      </c>
      <c r="O69" s="47">
        <f>IFERROR(VLOOKUP(B69,Presolana!A:Q,16,0),0)</f>
        <v>73.78</v>
      </c>
      <c r="P69" s="4"/>
      <c r="Q69" s="60">
        <f t="shared" si="8"/>
        <v>73.78</v>
      </c>
      <c r="S69" s="56">
        <f>COUNTIF(G69:O69,"&lt;&gt;0")</f>
        <v>1</v>
      </c>
      <c r="T69" s="57">
        <f>VLOOKUP(S69,Regolamento!G$6:I$14,3,0)</f>
        <v>1</v>
      </c>
      <c r="V69" s="60">
        <f t="shared" si="7"/>
        <v>73.78</v>
      </c>
      <c r="X69" s="10"/>
      <c r="Z69" s="119"/>
    </row>
    <row r="70" spans="1:26" x14ac:dyDescent="0.25">
      <c r="A70">
        <v>65</v>
      </c>
      <c r="B70" s="8" t="s">
        <v>305</v>
      </c>
      <c r="C70" s="12" t="str">
        <f>IFERROR(VLOOKUP(B70,concorrenti!A:C,3,0)," ")</f>
        <v>B</v>
      </c>
      <c r="D70" s="12">
        <f>VLOOKUP(B70,concorrenti!A:E,5,0)</f>
        <v>0</v>
      </c>
      <c r="E70" s="12">
        <f>VLOOKUP(B70,concorrenti!A:G,7,0)</f>
        <v>0</v>
      </c>
      <c r="F70" s="12" t="str">
        <f>VLOOKUP(B70,concorrenti!A$1:G$289,2,0)</f>
        <v>OROBICO</v>
      </c>
      <c r="G70" s="47">
        <f>IFERROR(VLOOKUP(B70,'Nora Sciplino'!A$12:P$68,16,0),0)</f>
        <v>0</v>
      </c>
      <c r="H70" s="47">
        <f>IFERROR(VLOOKUP(B70,Castellotti!A$12:P$66,16,0),0)</f>
        <v>0</v>
      </c>
      <c r="I70" s="75">
        <f>IFERROR(VLOOKUP(B70,Solidarietà!A:P,16,0),0)</f>
        <v>58.343999999999994</v>
      </c>
      <c r="J70" s="104">
        <f>SUM(G70:I70)/3*J$5</f>
        <v>15.332803199999997</v>
      </c>
      <c r="K70" s="57">
        <f>IFERROR(VLOOKUP(B70,'Giro del Lario'!A:P,16,0),0)</f>
        <v>0</v>
      </c>
      <c r="L70" s="47">
        <f>IFERROR(VLOOKUP(B70,'Campo dei Fiori'!A:P,16,0),0)</f>
        <v>0</v>
      </c>
      <c r="M70" s="47">
        <f>IFERROR(VLOOKUP(B70,'Erba Ghisallo'!A:P,16,0),0)</f>
        <v>0</v>
      </c>
      <c r="N70" s="47">
        <f>IFERROR(VLOOKUP(B70,Ambrosiano!A:Q,16,0),0)</f>
        <v>0</v>
      </c>
      <c r="O70" s="47">
        <f>IFERROR(VLOOKUP(B70,Presolana!A:Q,16,0),0)</f>
        <v>0</v>
      </c>
      <c r="Q70" s="60">
        <f t="shared" si="8"/>
        <v>73.676803199999995</v>
      </c>
      <c r="S70" s="56">
        <f>COUNTIF(G70:O70,"&lt;&gt;0")-1</f>
        <v>1</v>
      </c>
      <c r="T70" s="57">
        <f>VLOOKUP(S70,Regolamento!G$6:I$14,3,0)</f>
        <v>1</v>
      </c>
      <c r="V70" s="60">
        <f t="shared" ref="V70:V101" si="9">+T70*Q70</f>
        <v>73.676803199999995</v>
      </c>
      <c r="X70" s="10"/>
      <c r="Z70" s="119"/>
    </row>
    <row r="71" spans="1:26" x14ac:dyDescent="0.25">
      <c r="A71">
        <v>66</v>
      </c>
      <c r="B71" s="8" t="s">
        <v>450</v>
      </c>
      <c r="C71" s="12" t="str">
        <f>IFERROR(VLOOKUP(B71,concorrenti!A:C,3,0)," ")</f>
        <v>C</v>
      </c>
      <c r="D71" s="12">
        <f>VLOOKUP(B71,concorrenti!A:E,5,0)</f>
        <v>0</v>
      </c>
      <c r="E71" s="12">
        <f>VLOOKUP(B71,concorrenti!A:G,7,0)</f>
        <v>0</v>
      </c>
      <c r="F71" s="12" t="str">
        <f>VLOOKUP(B71,concorrenti!A$1:G$289,2,0)</f>
        <v>VAMS</v>
      </c>
      <c r="G71" s="47">
        <f>IFERROR(VLOOKUP(B71,'Nora Sciplino'!A$12:P$68,16,0),0)</f>
        <v>0</v>
      </c>
      <c r="H71" s="47">
        <f>IFERROR(VLOOKUP(B71,Castellotti!A$12:P$66,16,0),0)</f>
        <v>0</v>
      </c>
      <c r="I71" s="75">
        <f>IFERROR(VLOOKUP(B71,Solidarietà!A:P,16,0),0)</f>
        <v>0</v>
      </c>
      <c r="J71" s="104">
        <v>0</v>
      </c>
      <c r="K71" s="57">
        <f>IFERROR(VLOOKUP(B71,'Giro del Lario'!A:P,16,0),0)</f>
        <v>0</v>
      </c>
      <c r="L71" s="47">
        <f>IFERROR(VLOOKUP(B71,'Campo dei Fiori'!A:P,16,0),0)</f>
        <v>70.38</v>
      </c>
      <c r="M71" s="47">
        <f>IFERROR(VLOOKUP(B71,'Erba Ghisallo'!A:P,16,0),0)</f>
        <v>0</v>
      </c>
      <c r="N71" s="47">
        <f>IFERROR(VLOOKUP(B71,Ambrosiano!A:Q,16,0),0)</f>
        <v>0</v>
      </c>
      <c r="O71" s="47">
        <f>IFERROR(VLOOKUP(B71,Presolana!A:Q,16,0),0)</f>
        <v>0</v>
      </c>
      <c r="P71" s="4"/>
      <c r="Q71" s="60">
        <f t="shared" si="8"/>
        <v>70.38</v>
      </c>
      <c r="S71" s="56">
        <f>COUNTIF(G71:O71,"&lt;&gt;0")</f>
        <v>1</v>
      </c>
      <c r="T71" s="57">
        <f>VLOOKUP(S71,Regolamento!G$6:I$14,3,0)</f>
        <v>1</v>
      </c>
      <c r="V71" s="60">
        <f t="shared" si="9"/>
        <v>70.38</v>
      </c>
      <c r="Y71"/>
    </row>
    <row r="72" spans="1:26" x14ac:dyDescent="0.25">
      <c r="A72">
        <v>67</v>
      </c>
      <c r="B72" s="8" t="s">
        <v>191</v>
      </c>
      <c r="C72" s="12" t="str">
        <f>IFERROR(VLOOKUP(B72,concorrenti!A:C,3,0)," ")</f>
        <v>C</v>
      </c>
      <c r="D72" s="12">
        <f>VLOOKUP(B72,concorrenti!A:E,5,0)</f>
        <v>0</v>
      </c>
      <c r="E72" s="12">
        <f>VLOOKUP(B72,concorrenti!A:G,7,0)</f>
        <v>0</v>
      </c>
      <c r="F72" s="12" t="str">
        <f>VLOOKUP(B72,concorrenti!A$1:G$289,2,0)</f>
        <v>CASTELLOTTI</v>
      </c>
      <c r="G72" s="47">
        <f>IFERROR(VLOOKUP(B72,'Nora Sciplino'!A$12:P$68,16,0),0)</f>
        <v>0</v>
      </c>
      <c r="H72" s="47">
        <f>IFERROR(VLOOKUP(B72,Castellotti!A$12:P$66,16,0),0)</f>
        <v>18.809999999999995</v>
      </c>
      <c r="I72" s="75">
        <f>IFERROR(VLOOKUP(B72,Solidarietà!A:P,16,0),0)</f>
        <v>34.033999999999999</v>
      </c>
      <c r="J72" s="104">
        <f>SUM(G72:I72)/3*J$5</f>
        <v>13.887403199999998</v>
      </c>
      <c r="K72" s="57">
        <f>IFERROR(VLOOKUP(B72,'Giro del Lario'!A:P,16,0),0)</f>
        <v>0</v>
      </c>
      <c r="L72" s="47">
        <f>IFERROR(VLOOKUP(B72,'Campo dei Fiori'!A:P,16,0),0)</f>
        <v>0</v>
      </c>
      <c r="M72" s="47">
        <f>IFERROR(VLOOKUP(B72,'Erba Ghisallo'!A:P,16,0),0)</f>
        <v>0</v>
      </c>
      <c r="N72" s="47">
        <f>IFERROR(VLOOKUP(B72,Ambrosiano!A:Q,16,0),0)</f>
        <v>0</v>
      </c>
      <c r="O72" s="47">
        <f>IFERROR(VLOOKUP(B72,Presolana!A:Q,16,0),0)</f>
        <v>0</v>
      </c>
      <c r="P72" s="4"/>
      <c r="Q72" s="60">
        <f t="shared" si="8"/>
        <v>66.731403199999988</v>
      </c>
      <c r="S72" s="56">
        <f>COUNTIF(G72:O72,"&lt;&gt;0")-1</f>
        <v>2</v>
      </c>
      <c r="T72" s="57">
        <f>VLOOKUP(S72,Regolamento!G$6:I$14,3,0)</f>
        <v>1.05</v>
      </c>
      <c r="V72" s="60">
        <f t="shared" si="9"/>
        <v>70.067973359999996</v>
      </c>
      <c r="X72" s="10"/>
      <c r="Z72" s="119"/>
    </row>
    <row r="73" spans="1:26" x14ac:dyDescent="0.25">
      <c r="A73">
        <v>68</v>
      </c>
      <c r="B73" s="8" t="s">
        <v>388</v>
      </c>
      <c r="C73" s="12" t="str">
        <f>IFERROR(VLOOKUP(B73,concorrenti!A:C,3,0)," ")</f>
        <v>C</v>
      </c>
      <c r="D73" s="12">
        <f>VLOOKUP(B73,concorrenti!A:E,5,0)</f>
        <v>0</v>
      </c>
      <c r="E73" s="12" t="str">
        <f>VLOOKUP(B73,concorrenti!A:G,7,0)</f>
        <v>MECCANICO</v>
      </c>
      <c r="F73" s="12" t="str">
        <f>VLOOKUP(B73,concorrenti!A$1:G$289,2,0)</f>
        <v>GAMS</v>
      </c>
      <c r="G73" s="47">
        <f>IFERROR(VLOOKUP(B73,'Nora Sciplino'!A$12:P$68,16,0),0)</f>
        <v>0</v>
      </c>
      <c r="H73" s="47">
        <f>IFERROR(VLOOKUP(B73,Castellotti!A$12:P$66,16,0),0)</f>
        <v>0</v>
      </c>
      <c r="I73" s="75">
        <f>IFERROR(VLOOKUP(B73,Solidarietà!A:P,16,0),0)</f>
        <v>0</v>
      </c>
      <c r="J73" s="47">
        <f>IFERROR(VLOOKUP(B73,Gallarate!A:P,16,0),0)</f>
        <v>32.802</v>
      </c>
      <c r="K73" s="57">
        <f>IFERROR(VLOOKUP(B73,'Giro del Lario'!A:P,16,0),0)</f>
        <v>0</v>
      </c>
      <c r="L73" s="47">
        <f>IFERROR(VLOOKUP(B73,'Campo dei Fiori'!A:P,16,0),0)</f>
        <v>33.782399999999996</v>
      </c>
      <c r="M73" s="47">
        <f>IFERROR(VLOOKUP(B73,'Erba Ghisallo'!A:P,16,0),0)</f>
        <v>0</v>
      </c>
      <c r="N73" s="47">
        <f>IFERROR(VLOOKUP(B73,Ambrosiano!A:Q,16,0),0)</f>
        <v>0</v>
      </c>
      <c r="O73" s="47">
        <f>IFERROR(VLOOKUP(B73,Presolana!A:Q,16,0),0)</f>
        <v>0</v>
      </c>
      <c r="P73" s="4"/>
      <c r="Q73" s="60">
        <f t="shared" si="8"/>
        <v>66.584399999999988</v>
      </c>
      <c r="S73" s="56">
        <f>COUNTIF(G73:O73,"&lt;&gt;0")</f>
        <v>2</v>
      </c>
      <c r="T73" s="57">
        <f>VLOOKUP(S73,Regolamento!G$6:I$14,3,0)</f>
        <v>1.05</v>
      </c>
      <c r="V73" s="60">
        <f t="shared" si="9"/>
        <v>69.913619999999995</v>
      </c>
      <c r="X73" s="10"/>
      <c r="Z73" s="119"/>
    </row>
    <row r="74" spans="1:26" x14ac:dyDescent="0.25">
      <c r="A74">
        <v>69</v>
      </c>
      <c r="B74" s="8" t="s">
        <v>555</v>
      </c>
      <c r="C74" s="12" t="str">
        <f>IFERROR(VLOOKUP(B74,concorrenti!A:C,3,0)," ")</f>
        <v>B</v>
      </c>
      <c r="D74" s="12">
        <f>VLOOKUP(B74,concorrenti!A:E,5,0)</f>
        <v>0</v>
      </c>
      <c r="E74" s="12">
        <f>VLOOKUP(B74,concorrenti!A:G,7,0)</f>
        <v>0</v>
      </c>
      <c r="F74" s="12" t="str">
        <f>VLOOKUP(B74,concorrenti!A$1:G$289,2,0)</f>
        <v>GAMS</v>
      </c>
      <c r="G74" s="47">
        <f>IFERROR(VLOOKUP(B74,'Nora Sciplino'!A$12:P$68,16,0),0)</f>
        <v>55.11</v>
      </c>
      <c r="H74" s="47">
        <f>IFERROR(VLOOKUP(B74,Castellotti!A$12:P$66,16,0),0)</f>
        <v>0</v>
      </c>
      <c r="I74" s="75">
        <f>IFERROR(VLOOKUP(B74,Solidarietà!A:P,16,0),0)</f>
        <v>0</v>
      </c>
      <c r="J74" s="104">
        <f>SUM(G74:I74)/3*J$5</f>
        <v>14.482908</v>
      </c>
      <c r="K74" s="57">
        <f>IFERROR(VLOOKUP(B74,'Giro del Lario'!A:P,16,0),0)</f>
        <v>0</v>
      </c>
      <c r="L74" s="47">
        <f>IFERROR(VLOOKUP(B74,'Campo dei Fiori'!A:P,16,0),0)</f>
        <v>0</v>
      </c>
      <c r="M74" s="47">
        <f>IFERROR(VLOOKUP(B74,'Erba Ghisallo'!A:P,16,0),0)</f>
        <v>0</v>
      </c>
      <c r="N74" s="47">
        <f>IFERROR(VLOOKUP(B74,Ambrosiano!A:Q,16,0),0)</f>
        <v>0</v>
      </c>
      <c r="O74" s="47">
        <f>IFERROR(VLOOKUP(B74,Presolana!A:Q,16,0),0)</f>
        <v>0</v>
      </c>
      <c r="P74" s="4"/>
      <c r="Q74" s="60">
        <f t="shared" si="8"/>
        <v>69.592907999999994</v>
      </c>
      <c r="S74" s="56">
        <f>COUNTIF(G74:O74,"&lt;&gt;0")-1</f>
        <v>1</v>
      </c>
      <c r="T74" s="57">
        <f>VLOOKUP(S74,Regolamento!G$6:I$14,3,0)</f>
        <v>1</v>
      </c>
      <c r="V74" s="60">
        <f t="shared" si="9"/>
        <v>69.592907999999994</v>
      </c>
      <c r="X74" s="10"/>
      <c r="Z74" s="119"/>
    </row>
    <row r="75" spans="1:26" x14ac:dyDescent="0.25">
      <c r="A75">
        <v>70</v>
      </c>
      <c r="B75" s="8" t="s">
        <v>220</v>
      </c>
      <c r="C75" s="12" t="str">
        <f>IFERROR(VLOOKUP(B75,concorrenti!A:C,3,0)," ")</f>
        <v>B</v>
      </c>
      <c r="D75" s="12">
        <f>VLOOKUP(B75,concorrenti!A:E,5,0)</f>
        <v>0</v>
      </c>
      <c r="E75" s="12">
        <f>VLOOKUP(B75,concorrenti!A:G,7,0)</f>
        <v>0</v>
      </c>
      <c r="F75" s="12" t="str">
        <f>VLOOKUP(B75,concorrenti!A$1:G$289,2,0)</f>
        <v>CMAE</v>
      </c>
      <c r="G75" s="47">
        <f>IFERROR(VLOOKUP(B75,'Nora Sciplino'!A$12:P$68,16,0),0)</f>
        <v>0</v>
      </c>
      <c r="H75" s="47">
        <f>IFERROR(VLOOKUP(B75,Castellotti!A$12:P$66,16,0),0)</f>
        <v>53.294999999999995</v>
      </c>
      <c r="I75" s="75">
        <f>IFERROR(VLOOKUP(B75,Solidarietà!A:P,16,0),0)</f>
        <v>0</v>
      </c>
      <c r="J75" s="104">
        <f>SUM(G75:I75)/3*J$5</f>
        <v>14.005925999999997</v>
      </c>
      <c r="K75" s="57">
        <f>IFERROR(VLOOKUP(B75,'Giro del Lario'!A:P,16,0),0)</f>
        <v>0</v>
      </c>
      <c r="L75" s="47">
        <f>IFERROR(VLOOKUP(B75,'Campo dei Fiori'!A:P,16,0),0)</f>
        <v>0</v>
      </c>
      <c r="M75" s="47">
        <f>IFERROR(VLOOKUP(B75,'Erba Ghisallo'!A:P,16,0),0)</f>
        <v>0</v>
      </c>
      <c r="N75" s="47">
        <f>IFERROR(VLOOKUP(B75,Ambrosiano!A:Q,16,0),0)</f>
        <v>0</v>
      </c>
      <c r="O75" s="47">
        <f>IFERROR(VLOOKUP(B75,Presolana!A:Q,16,0),0)</f>
        <v>0</v>
      </c>
      <c r="Q75" s="60">
        <f t="shared" si="8"/>
        <v>67.30092599999999</v>
      </c>
      <c r="S75" s="56">
        <f>COUNTIF(G75:O75,"&lt;&gt;0")-1</f>
        <v>1</v>
      </c>
      <c r="T75" s="57">
        <f>VLOOKUP(S75,Regolamento!G$6:I$14,3,0)</f>
        <v>1</v>
      </c>
      <c r="V75" s="60">
        <f t="shared" si="9"/>
        <v>67.30092599999999</v>
      </c>
      <c r="X75" s="10"/>
      <c r="Z75" s="119"/>
    </row>
    <row r="76" spans="1:26" x14ac:dyDescent="0.25">
      <c r="A76">
        <v>71</v>
      </c>
      <c r="B76" s="8" t="s">
        <v>78</v>
      </c>
      <c r="C76" s="12" t="str">
        <f>IFERROR(VLOOKUP(B76,concorrenti!A:C,3,0)," ")</f>
        <v>B</v>
      </c>
      <c r="D76" s="12">
        <f>VLOOKUP(B76,concorrenti!A:E,5,0)</f>
        <v>0</v>
      </c>
      <c r="E76" s="12" t="str">
        <f>VLOOKUP(B76,concorrenti!A:G,7,0)</f>
        <v>MECCANICO</v>
      </c>
      <c r="F76" s="12" t="str">
        <f>VLOOKUP(B76,concorrenti!A$1:G$289,2,0)</f>
        <v>VAMS</v>
      </c>
      <c r="G76" s="47">
        <f>IFERROR(VLOOKUP(B76,'Nora Sciplino'!A$12:P$68,16,0),0)</f>
        <v>52.354499999999994</v>
      </c>
      <c r="H76" s="47">
        <f>IFERROR(VLOOKUP(B76,Castellotti!A$12:P$66,16,0),0)</f>
        <v>0</v>
      </c>
      <c r="I76" s="75">
        <f>IFERROR(VLOOKUP(B76,Solidarietà!A:P,16,0),0)</f>
        <v>0</v>
      </c>
      <c r="J76" s="104">
        <f>SUM(G76:I76)/3*J$5</f>
        <v>13.758762599999999</v>
      </c>
      <c r="K76" s="57">
        <f>IFERROR(VLOOKUP(B76,'Giro del Lario'!A:P,16,0),0)</f>
        <v>0</v>
      </c>
      <c r="L76" s="47">
        <f>IFERROR(VLOOKUP(B76,'Campo dei Fiori'!A:P,16,0),0)</f>
        <v>0</v>
      </c>
      <c r="M76" s="47">
        <f>IFERROR(VLOOKUP(B76,'Erba Ghisallo'!A:P,16,0),0)</f>
        <v>0</v>
      </c>
      <c r="N76" s="47">
        <f>IFERROR(VLOOKUP(B76,Ambrosiano!A:Q,16,0),0)</f>
        <v>0</v>
      </c>
      <c r="O76" s="47">
        <f>IFERROR(VLOOKUP(B76,Presolana!A:Q,16,0),0)</f>
        <v>0</v>
      </c>
      <c r="Q76" s="60">
        <f t="shared" si="8"/>
        <v>66.113262599999999</v>
      </c>
      <c r="S76" s="56">
        <f>COUNTIF(G76:O76,"&lt;&gt;0")-1</f>
        <v>1</v>
      </c>
      <c r="T76" s="57">
        <f>VLOOKUP(S76,Regolamento!G$6:I$14,3,0)</f>
        <v>1</v>
      </c>
      <c r="V76" s="60">
        <f t="shared" si="9"/>
        <v>66.113262599999999</v>
      </c>
      <c r="X76" s="10"/>
      <c r="Z76" s="119"/>
    </row>
    <row r="77" spans="1:26" x14ac:dyDescent="0.25">
      <c r="A77">
        <v>72</v>
      </c>
      <c r="B77" s="8" t="s">
        <v>451</v>
      </c>
      <c r="C77" s="12" t="str">
        <f>IFERROR(VLOOKUP(B77,concorrenti!A:C,3,0)," ")</f>
        <v>C</v>
      </c>
      <c r="D77" s="12">
        <f>VLOOKUP(B77,concorrenti!A:E,5,0)</f>
        <v>0</v>
      </c>
      <c r="E77" s="12">
        <f>VLOOKUP(B77,concorrenti!A:G,7,0)</f>
        <v>0</v>
      </c>
      <c r="F77" s="12" t="str">
        <f>VLOOKUP(B77,concorrenti!A$1:G$289,2,0)</f>
        <v>VAMS</v>
      </c>
      <c r="G77" s="47">
        <f>IFERROR(VLOOKUP(B77,'Nora Sciplino'!A$12:P$68,16,0),0)</f>
        <v>0</v>
      </c>
      <c r="H77" s="47">
        <f>IFERROR(VLOOKUP(B77,Castellotti!A$12:P$66,16,0),0)</f>
        <v>0</v>
      </c>
      <c r="I77" s="75">
        <f>IFERROR(VLOOKUP(B77,Solidarietà!A:P,16,0),0)</f>
        <v>0</v>
      </c>
      <c r="J77" s="104">
        <v>0</v>
      </c>
      <c r="K77" s="57">
        <f>IFERROR(VLOOKUP(B77,'Giro del Lario'!A:P,16,0),0)</f>
        <v>0</v>
      </c>
      <c r="L77" s="47">
        <f>IFERROR(VLOOKUP(B77,'Campo dei Fiori'!A:P,16,0),0)</f>
        <v>61.934399999999997</v>
      </c>
      <c r="M77" s="47">
        <f>IFERROR(VLOOKUP(B77,'Erba Ghisallo'!A:P,16,0),0)</f>
        <v>0</v>
      </c>
      <c r="N77" s="47">
        <f>IFERROR(VLOOKUP(B77,Ambrosiano!A:Q,16,0),0)</f>
        <v>0</v>
      </c>
      <c r="O77" s="47">
        <f>IFERROR(VLOOKUP(B77,Presolana!A:Q,16,0),0)</f>
        <v>0</v>
      </c>
      <c r="P77" s="4"/>
      <c r="Q77" s="60">
        <f t="shared" si="8"/>
        <v>61.934399999999997</v>
      </c>
      <c r="S77" s="56">
        <f>COUNTIF(G77:O77,"&lt;&gt;0")</f>
        <v>1</v>
      </c>
      <c r="T77" s="57">
        <f>VLOOKUP(S77,Regolamento!G$6:I$14,3,0)</f>
        <v>1</v>
      </c>
      <c r="V77" s="60">
        <f t="shared" si="9"/>
        <v>61.934399999999997</v>
      </c>
      <c r="X77" s="10"/>
      <c r="Z77" s="119"/>
    </row>
    <row r="78" spans="1:26" x14ac:dyDescent="0.25">
      <c r="A78">
        <v>73</v>
      </c>
      <c r="B78" s="8" t="s">
        <v>454</v>
      </c>
      <c r="C78" s="12" t="str">
        <f>IFERROR(VLOOKUP(B78,concorrenti!A:C,3,0)," ")</f>
        <v>C</v>
      </c>
      <c r="D78" s="12">
        <f>VLOOKUP(B78,concorrenti!A:E,5,0)</f>
        <v>0</v>
      </c>
      <c r="E78" s="12">
        <f>VLOOKUP(B78,concorrenti!A:G,7,0)</f>
        <v>0</v>
      </c>
      <c r="F78" s="12" t="str">
        <f>VLOOKUP(B78,concorrenti!A$1:G$289,2,0)</f>
        <v>CAVEM</v>
      </c>
      <c r="G78" s="47">
        <f>IFERROR(VLOOKUP(B78,'Nora Sciplino'!A$12:P$68,16,0),0)</f>
        <v>0</v>
      </c>
      <c r="H78" s="47">
        <f>IFERROR(VLOOKUP(B78,Castellotti!A$12:P$66,16,0),0)</f>
        <v>0</v>
      </c>
      <c r="I78" s="75">
        <f>IFERROR(VLOOKUP(B78,Solidarietà!A:P,16,0),0)</f>
        <v>0</v>
      </c>
      <c r="J78" s="104">
        <v>0</v>
      </c>
      <c r="K78" s="57">
        <f>IFERROR(VLOOKUP(B78,'Giro del Lario'!A:P,16,0),0)</f>
        <v>0</v>
      </c>
      <c r="L78" s="47">
        <f>IFERROR(VLOOKUP(B78,'Campo dei Fiori'!A:P,16,0),0)</f>
        <v>30.967199999999998</v>
      </c>
      <c r="M78" s="47">
        <f>IFERROR(VLOOKUP(B78,'Erba Ghisallo'!A:P,16,0),0)</f>
        <v>0</v>
      </c>
      <c r="N78" s="47">
        <f>IFERROR(VLOOKUP(B78,Ambrosiano!A:Q,16,0),0)</f>
        <v>27.427400000000002</v>
      </c>
      <c r="O78" s="47">
        <f>IFERROR(VLOOKUP(B78,Presolana!A:Q,16,0),0)</f>
        <v>0</v>
      </c>
      <c r="P78" s="4"/>
      <c r="Q78" s="60">
        <f t="shared" si="8"/>
        <v>58.394599999999997</v>
      </c>
      <c r="S78" s="56">
        <f>COUNTIF(G78:O78,"&lt;&gt;0")</f>
        <v>2</v>
      </c>
      <c r="T78" s="57">
        <f>VLOOKUP(S78,Regolamento!G$6:I$14,3,0)</f>
        <v>1.05</v>
      </c>
      <c r="V78" s="60">
        <f t="shared" si="9"/>
        <v>61.314329999999998</v>
      </c>
      <c r="X78" s="10"/>
      <c r="Z78" s="119"/>
    </row>
    <row r="79" spans="1:26" x14ac:dyDescent="0.25">
      <c r="A79">
        <v>74</v>
      </c>
      <c r="B79" s="8" t="s">
        <v>213</v>
      </c>
      <c r="C79" s="12" t="str">
        <f>IFERROR(VLOOKUP(B79,concorrenti!A:C,3,0)," ")</f>
        <v>C</v>
      </c>
      <c r="D79" s="12">
        <f>VLOOKUP(B79,concorrenti!A:E,5,0)</f>
        <v>0</v>
      </c>
      <c r="E79" s="12" t="str">
        <f>VLOOKUP(B79,concorrenti!A:G,7,0)</f>
        <v>MECCANICO</v>
      </c>
      <c r="F79" s="12" t="str">
        <f>VLOOKUP(B79,concorrenti!A$1:G$289,2,0)</f>
        <v>CAVEM</v>
      </c>
      <c r="G79" s="47">
        <f>IFERROR(VLOOKUP(B79,'Nora Sciplino'!A$12:P$68,16,0),0)</f>
        <v>0</v>
      </c>
      <c r="H79" s="47">
        <f>IFERROR(VLOOKUP(B79,Castellotti!A$12:P$66,16,0),0)</f>
        <v>1.5674999999999999</v>
      </c>
      <c r="I79" s="75">
        <f>IFERROR(VLOOKUP(B79,Solidarietà!A:P,16,0),0)</f>
        <v>0</v>
      </c>
      <c r="J79" s="104">
        <f>SUM(G79:I79)/3*J$5</f>
        <v>0.41193899999999994</v>
      </c>
      <c r="K79" s="57">
        <f>IFERROR(VLOOKUP(B79,'Giro del Lario'!A:P,16,0),0)</f>
        <v>52.5</v>
      </c>
      <c r="L79" s="47">
        <f>IFERROR(VLOOKUP(B79,'Campo dei Fiori'!A:P,16,0),0)</f>
        <v>0</v>
      </c>
      <c r="M79" s="47">
        <f>IFERROR(VLOOKUP(B79,'Erba Ghisallo'!A:P,16,0),0)</f>
        <v>1.1759999999999999</v>
      </c>
      <c r="N79" s="47">
        <f>IFERROR(VLOOKUP(B79,Ambrosiano!A:Q,16,0),0)</f>
        <v>0</v>
      </c>
      <c r="O79" s="47">
        <f>IFERROR(VLOOKUP(B79,Presolana!A:Q,16,0),0)</f>
        <v>0</v>
      </c>
      <c r="P79" s="4"/>
      <c r="Q79" s="60">
        <f t="shared" si="8"/>
        <v>55.655439000000001</v>
      </c>
      <c r="S79" s="56">
        <f>COUNTIF(G79:O79,"&lt;&gt;0")-1</f>
        <v>3</v>
      </c>
      <c r="T79" s="57">
        <f>VLOOKUP(S79,Regolamento!G$6:I$14,3,0)</f>
        <v>1.1000000000000001</v>
      </c>
      <c r="V79" s="60">
        <f t="shared" si="9"/>
        <v>61.220982900000003</v>
      </c>
      <c r="X79" s="10"/>
      <c r="Z79" s="119"/>
    </row>
    <row r="80" spans="1:26" x14ac:dyDescent="0.25">
      <c r="A80">
        <v>75</v>
      </c>
      <c r="B80" s="8" t="s">
        <v>198</v>
      </c>
      <c r="C80" s="12" t="str">
        <f>IFERROR(VLOOKUP(B80,concorrenti!A:C,3,0)," ")</f>
        <v>C</v>
      </c>
      <c r="D80" s="12">
        <f>VLOOKUP(B80,concorrenti!A:E,5,0)</f>
        <v>0</v>
      </c>
      <c r="E80" s="12">
        <f>VLOOKUP(B80,concorrenti!A:G,7,0)</f>
        <v>0</v>
      </c>
      <c r="F80" s="12" t="str">
        <f>VLOOKUP(B80,concorrenti!A$1:G$289,2,0)</f>
        <v>CASTELLOTTI</v>
      </c>
      <c r="G80" s="47">
        <f>IFERROR(VLOOKUP(B80,'Nora Sciplino'!A$12:P$68,16,0),0)</f>
        <v>0</v>
      </c>
      <c r="H80" s="47">
        <f>IFERROR(VLOOKUP(B80,Castellotti!A$12:P$66,16,0),0)</f>
        <v>47.024999999999999</v>
      </c>
      <c r="I80" s="75">
        <f>IFERROR(VLOOKUP(B80,Solidarietà!A:P,16,0),0)</f>
        <v>0</v>
      </c>
      <c r="J80" s="104">
        <f>SUM(G80:I80)/3*J$5</f>
        <v>12.358169999999999</v>
      </c>
      <c r="K80" s="57">
        <f>IFERROR(VLOOKUP(B80,'Giro del Lario'!A:P,16,0),0)</f>
        <v>0</v>
      </c>
      <c r="L80" s="47">
        <f>IFERROR(VLOOKUP(B80,'Campo dei Fiori'!A:P,16,0),0)</f>
        <v>0</v>
      </c>
      <c r="M80" s="47">
        <f>IFERROR(VLOOKUP(B80,'Erba Ghisallo'!A:P,16,0),0)</f>
        <v>0</v>
      </c>
      <c r="N80" s="47">
        <f>IFERROR(VLOOKUP(B80,Ambrosiano!A:Q,16,0),0)</f>
        <v>0</v>
      </c>
      <c r="O80" s="47">
        <f>IFERROR(VLOOKUP(B80,Presolana!A:Q,16,0),0)</f>
        <v>0</v>
      </c>
      <c r="P80" s="4"/>
      <c r="Q80" s="60">
        <f t="shared" si="8"/>
        <v>59.38317</v>
      </c>
      <c r="S80" s="56">
        <f>COUNTIF(G80:O80,"&lt;&gt;0")-1</f>
        <v>1</v>
      </c>
      <c r="T80" s="57">
        <f>VLOOKUP(S80,Regolamento!G$6:I$14,3,0)</f>
        <v>1</v>
      </c>
      <c r="V80" s="60">
        <f t="shared" si="9"/>
        <v>59.38317</v>
      </c>
      <c r="X80" s="10"/>
      <c r="Z80" s="119"/>
    </row>
    <row r="81" spans="1:26" x14ac:dyDescent="0.25">
      <c r="A81">
        <v>76</v>
      </c>
      <c r="B81" s="8" t="s">
        <v>79</v>
      </c>
      <c r="C81" s="12" t="str">
        <f>IFERROR(VLOOKUP(B81,concorrenti!A:C,3,0)," ")</f>
        <v>B</v>
      </c>
      <c r="D81" s="12">
        <f>VLOOKUP(B81,concorrenti!A:E,5,0)</f>
        <v>0</v>
      </c>
      <c r="E81" s="12">
        <f>VLOOKUP(B81,concorrenti!A:G,7,0)</f>
        <v>0</v>
      </c>
      <c r="F81" s="12" t="str">
        <f>VLOOKUP(B81,concorrenti!A$1:G$289,2,0)</f>
        <v>VAMS</v>
      </c>
      <c r="G81" s="47">
        <f>IFERROR(VLOOKUP(B81,'Nora Sciplino'!A$12:P$68,16,0),0)</f>
        <v>46.843499999999992</v>
      </c>
      <c r="H81" s="47">
        <f>IFERROR(VLOOKUP(B81,Castellotti!A$12:P$66,16,0),0)</f>
        <v>0</v>
      </c>
      <c r="I81" s="75">
        <f>IFERROR(VLOOKUP(B81,Solidarietà!A:P,16,0),0)</f>
        <v>0</v>
      </c>
      <c r="J81" s="104">
        <f>SUM(G81:I81)/3*J$5</f>
        <v>12.310471799999998</v>
      </c>
      <c r="K81" s="57">
        <f>IFERROR(VLOOKUP(B81,'Giro del Lario'!A:P,16,0),0)</f>
        <v>0</v>
      </c>
      <c r="L81" s="47">
        <f>IFERROR(VLOOKUP(B81,'Campo dei Fiori'!A:P,16,0),0)</f>
        <v>0</v>
      </c>
      <c r="M81" s="47">
        <f>IFERROR(VLOOKUP(B81,'Erba Ghisallo'!A:P,16,0),0)</f>
        <v>0</v>
      </c>
      <c r="N81" s="47">
        <f>IFERROR(VLOOKUP(B81,Ambrosiano!A:Q,16,0),0)</f>
        <v>0</v>
      </c>
      <c r="O81" s="47">
        <f>IFERROR(VLOOKUP(B81,Presolana!A:Q,16,0),0)</f>
        <v>0</v>
      </c>
      <c r="P81" s="4"/>
      <c r="Q81" s="60">
        <f t="shared" ref="Q81:Q112" si="10">SUM(G81:P81)</f>
        <v>59.153971799999994</v>
      </c>
      <c r="S81" s="56">
        <f>COUNTIF(G81:O81,"&lt;&gt;0")-1</f>
        <v>1</v>
      </c>
      <c r="T81" s="57">
        <f>VLOOKUP(S81,Regolamento!G$6:I$14,3,0)</f>
        <v>1</v>
      </c>
      <c r="V81" s="60">
        <f t="shared" si="9"/>
        <v>59.153971799999994</v>
      </c>
      <c r="X81" s="10"/>
      <c r="Z81" s="119"/>
    </row>
    <row r="82" spans="1:26" x14ac:dyDescent="0.25">
      <c r="A82">
        <v>77</v>
      </c>
      <c r="B82" s="8" t="s">
        <v>455</v>
      </c>
      <c r="C82" s="12" t="str">
        <f>IFERROR(VLOOKUP(B82,concorrenti!A:C,3,0)," ")</f>
        <v>C</v>
      </c>
      <c r="D82" s="12">
        <f>VLOOKUP(B82,concorrenti!A:E,5,0)</f>
        <v>0</v>
      </c>
      <c r="E82" s="12" t="str">
        <f>VLOOKUP(B82,concorrenti!A:G,7,0)</f>
        <v>MECCANICO</v>
      </c>
      <c r="F82" s="12" t="str">
        <f>VLOOKUP(B82,concorrenti!A$1:G$289,2,0)</f>
        <v>VAMS</v>
      </c>
      <c r="G82" s="47">
        <f>IFERROR(VLOOKUP(B82,'Nora Sciplino'!A$12:P$68,16,0),0)</f>
        <v>0</v>
      </c>
      <c r="H82" s="47">
        <f>IFERROR(VLOOKUP(B82,Castellotti!A$12:P$66,16,0),0)</f>
        <v>0</v>
      </c>
      <c r="I82" s="75">
        <f>IFERROR(VLOOKUP(B82,Solidarietà!A:P,16,0),0)</f>
        <v>0</v>
      </c>
      <c r="J82" s="104">
        <v>0</v>
      </c>
      <c r="K82" s="57">
        <f>IFERROR(VLOOKUP(B82,'Giro del Lario'!A:P,16,0),0)</f>
        <v>0</v>
      </c>
      <c r="L82" s="47">
        <f>IFERROR(VLOOKUP(B82,'Campo dei Fiori'!A:P,16,0),0)</f>
        <v>59.119199999999999</v>
      </c>
      <c r="M82" s="47">
        <f>IFERROR(VLOOKUP(B82,'Erba Ghisallo'!A:P,16,0),0)</f>
        <v>0</v>
      </c>
      <c r="N82" s="47">
        <f>IFERROR(VLOOKUP(B82,Ambrosiano!A:Q,16,0),0)</f>
        <v>0</v>
      </c>
      <c r="O82" s="47">
        <f>IFERROR(VLOOKUP(B82,Presolana!A:Q,16,0),0)</f>
        <v>0</v>
      </c>
      <c r="P82" s="4"/>
      <c r="Q82" s="60">
        <f t="shared" si="10"/>
        <v>59.119199999999999</v>
      </c>
      <c r="S82" s="56">
        <f>COUNTIF(G82:O82,"&lt;&gt;0")</f>
        <v>1</v>
      </c>
      <c r="T82" s="57">
        <f>VLOOKUP(S82,Regolamento!G$6:I$14,3,0)</f>
        <v>1</v>
      </c>
      <c r="V82" s="60">
        <f t="shared" si="9"/>
        <v>59.119199999999999</v>
      </c>
      <c r="X82" s="10"/>
      <c r="Z82" s="119"/>
    </row>
    <row r="83" spans="1:26" x14ac:dyDescent="0.25">
      <c r="A83">
        <v>78</v>
      </c>
      <c r="B83" s="8" t="s">
        <v>347</v>
      </c>
      <c r="C83" s="12" t="str">
        <f>IFERROR(VLOOKUP(B83,concorrenti!A:C,3,0)," ")</f>
        <v>B</v>
      </c>
      <c r="D83" s="12">
        <f>VLOOKUP(B83,concorrenti!A:E,5,0)</f>
        <v>0</v>
      </c>
      <c r="E83" s="12" t="str">
        <f>VLOOKUP(B83,concorrenti!A:G,7,0)</f>
        <v>MECCANICO</v>
      </c>
      <c r="F83" s="12" t="str">
        <f>VLOOKUP(B83,concorrenti!A$1:G$289,2,0)</f>
        <v>VCC COMO</v>
      </c>
      <c r="G83" s="47">
        <f>IFERROR(VLOOKUP(B83,'Nora Sciplino'!A$12:P$68,16,0),0)</f>
        <v>0</v>
      </c>
      <c r="H83" s="47">
        <f>IFERROR(VLOOKUP(B83,Castellotti!A$12:P$66,16,0),0)</f>
        <v>0</v>
      </c>
      <c r="I83" s="75">
        <f>IFERROR(VLOOKUP(B83,Solidarietà!A:P,16,0),0)</f>
        <v>0</v>
      </c>
      <c r="J83" s="104">
        <v>0</v>
      </c>
      <c r="K83" s="57">
        <f>IFERROR(VLOOKUP(B83,'Giro del Lario'!A:P,16,0),0)</f>
        <v>59.0625</v>
      </c>
      <c r="L83" s="47">
        <f>IFERROR(VLOOKUP(B83,'Campo dei Fiori'!A:P,16,0),0)</f>
        <v>0</v>
      </c>
      <c r="M83" s="47">
        <f>IFERROR(VLOOKUP(B83,'Erba Ghisallo'!A:P,16,0),0)</f>
        <v>0</v>
      </c>
      <c r="N83" s="47">
        <f>IFERROR(VLOOKUP(B83,Ambrosiano!A:Q,16,0),0)</f>
        <v>0</v>
      </c>
      <c r="O83" s="47">
        <f>IFERROR(VLOOKUP(B83,Presolana!A:Q,16,0),0)</f>
        <v>0</v>
      </c>
      <c r="P83" s="4"/>
      <c r="Q83" s="60">
        <f t="shared" si="10"/>
        <v>59.0625</v>
      </c>
      <c r="S83" s="56">
        <f>COUNTIF(G83:O83,"&lt;&gt;0")</f>
        <v>1</v>
      </c>
      <c r="T83" s="57">
        <f>VLOOKUP(S83,Regolamento!G$6:I$14,3,0)</f>
        <v>1</v>
      </c>
      <c r="V83" s="60">
        <f t="shared" si="9"/>
        <v>59.0625</v>
      </c>
      <c r="X83" s="10"/>
      <c r="Z83" s="119"/>
    </row>
    <row r="84" spans="1:26" x14ac:dyDescent="0.25">
      <c r="A84">
        <v>79</v>
      </c>
      <c r="B84" s="8" t="s">
        <v>351</v>
      </c>
      <c r="C84" s="12" t="str">
        <f>IFERROR(VLOOKUP(B84,concorrenti!A:C,3,0)," ")</f>
        <v>C</v>
      </c>
      <c r="D84" s="12">
        <f>VLOOKUP(B84,concorrenti!A:E,5,0)</f>
        <v>0</v>
      </c>
      <c r="E84" s="12" t="str">
        <f>VLOOKUP(B84,concorrenti!A:G,7,0)</f>
        <v>MECCANICO</v>
      </c>
      <c r="F84" s="12" t="str">
        <f>VLOOKUP(B84,concorrenti!A$1:G$289,2,0)</f>
        <v>CMAE</v>
      </c>
      <c r="G84" s="47">
        <f>IFERROR(VLOOKUP(B84,'Nora Sciplino'!A$12:P$68,16,0),0)</f>
        <v>0</v>
      </c>
      <c r="H84" s="47">
        <f>IFERROR(VLOOKUP(B84,Castellotti!A$12:P$66,16,0),0)</f>
        <v>0</v>
      </c>
      <c r="I84" s="75">
        <f>IFERROR(VLOOKUP(B84,Solidarietà!A:P,16,0),0)</f>
        <v>0</v>
      </c>
      <c r="J84" s="104">
        <v>0</v>
      </c>
      <c r="K84" s="57">
        <f>IFERROR(VLOOKUP(B84,'Giro del Lario'!A:P,16,0),0)</f>
        <v>56.875</v>
      </c>
      <c r="L84" s="47">
        <f>IFERROR(VLOOKUP(B84,'Campo dei Fiori'!A:P,16,0),0)</f>
        <v>0</v>
      </c>
      <c r="M84" s="47">
        <f>IFERROR(VLOOKUP(B84,'Erba Ghisallo'!A:P,16,0),0)</f>
        <v>0</v>
      </c>
      <c r="N84" s="47">
        <f>IFERROR(VLOOKUP(B84,Ambrosiano!A:Q,16,0),0)</f>
        <v>0</v>
      </c>
      <c r="O84" s="47">
        <f>IFERROR(VLOOKUP(B84,Presolana!A:Q,16,0),0)</f>
        <v>0</v>
      </c>
      <c r="P84" s="4"/>
      <c r="Q84" s="60">
        <f t="shared" si="10"/>
        <v>56.875</v>
      </c>
      <c r="S84" s="56">
        <f>COUNTIF(G84:O84,"&lt;&gt;0")</f>
        <v>1</v>
      </c>
      <c r="T84" s="57">
        <f>VLOOKUP(S84,Regolamento!G$6:I$14,3,0)</f>
        <v>1</v>
      </c>
      <c r="V84" s="60">
        <f t="shared" si="9"/>
        <v>56.875</v>
      </c>
      <c r="X84" s="10"/>
      <c r="Z84" s="119"/>
    </row>
    <row r="85" spans="1:26" x14ac:dyDescent="0.25">
      <c r="A85">
        <v>80</v>
      </c>
      <c r="B85" s="8" t="s">
        <v>452</v>
      </c>
      <c r="C85" s="12" t="str">
        <f>IFERROR(VLOOKUP(B85,concorrenti!A:C,3,0)," ")</f>
        <v>C</v>
      </c>
      <c r="D85" s="12">
        <f>VLOOKUP(B85,concorrenti!A:E,5,0)</f>
        <v>0</v>
      </c>
      <c r="E85" s="12">
        <f>VLOOKUP(B85,concorrenti!A:G,7,0)</f>
        <v>0</v>
      </c>
      <c r="F85" s="12" t="str">
        <f>VLOOKUP(B85,concorrenti!A$1:G$289,2,0)</f>
        <v>VAMS</v>
      </c>
      <c r="G85" s="47">
        <f>IFERROR(VLOOKUP(B85,'Nora Sciplino'!A$12:P$68,16,0),0)</f>
        <v>0</v>
      </c>
      <c r="H85" s="47">
        <f>IFERROR(VLOOKUP(B85,Castellotti!A$12:P$66,16,0),0)</f>
        <v>0</v>
      </c>
      <c r="I85" s="75">
        <f>IFERROR(VLOOKUP(B85,Solidarietà!A:P,16,0),0)</f>
        <v>0</v>
      </c>
      <c r="J85" s="104">
        <v>0</v>
      </c>
      <c r="K85" s="57">
        <f>IFERROR(VLOOKUP(B85,'Giro del Lario'!A:P,16,0),0)</f>
        <v>0</v>
      </c>
      <c r="L85" s="47">
        <f>IFERROR(VLOOKUP(B85,'Campo dei Fiori'!A:P,16,0),0)</f>
        <v>56.303999999999995</v>
      </c>
      <c r="M85" s="47">
        <f>IFERROR(VLOOKUP(B85,'Erba Ghisallo'!A:P,16,0),0)</f>
        <v>0</v>
      </c>
      <c r="N85" s="47">
        <f>IFERROR(VLOOKUP(B85,Ambrosiano!A:Q,16,0),0)</f>
        <v>0</v>
      </c>
      <c r="O85" s="47">
        <f>IFERROR(VLOOKUP(B85,Presolana!A:Q,16,0),0)</f>
        <v>0</v>
      </c>
      <c r="P85" s="4"/>
      <c r="Q85" s="60">
        <f t="shared" si="10"/>
        <v>56.303999999999995</v>
      </c>
      <c r="S85" s="56">
        <f>COUNTIF(G85:O85,"&lt;&gt;0")</f>
        <v>1</v>
      </c>
      <c r="T85" s="57">
        <f>VLOOKUP(S85,Regolamento!G$6:I$14,3,0)</f>
        <v>1</v>
      </c>
      <c r="V85" s="60">
        <f t="shared" si="9"/>
        <v>56.303999999999995</v>
      </c>
      <c r="X85" s="10"/>
      <c r="Z85" s="119"/>
    </row>
    <row r="86" spans="1:26" x14ac:dyDescent="0.25">
      <c r="A86">
        <v>81</v>
      </c>
      <c r="B86" s="8" t="s">
        <v>459</v>
      </c>
      <c r="C86" s="12" t="str">
        <f>IFERROR(VLOOKUP(B86,concorrenti!A:C,3,0)," ")</f>
        <v>C</v>
      </c>
      <c r="D86" s="12">
        <f>VLOOKUP(B86,concorrenti!A:E,5,0)</f>
        <v>0</v>
      </c>
      <c r="E86" s="12" t="str">
        <f>VLOOKUP(B86,concorrenti!A:G,7,0)</f>
        <v>MECCANICO</v>
      </c>
      <c r="F86" s="12" t="str">
        <f>VLOOKUP(B86,concorrenti!A$1:G$289,2,0)</f>
        <v>VAMS</v>
      </c>
      <c r="G86" s="47">
        <f>IFERROR(VLOOKUP(B86,'Nora Sciplino'!A$12:P$68,16,0),0)</f>
        <v>0</v>
      </c>
      <c r="H86" s="47">
        <f>IFERROR(VLOOKUP(B86,Castellotti!A$12:P$66,16,0),0)</f>
        <v>0</v>
      </c>
      <c r="I86" s="75">
        <f>IFERROR(VLOOKUP(B86,Solidarietà!A:P,16,0),0)</f>
        <v>0</v>
      </c>
      <c r="J86" s="104">
        <v>0</v>
      </c>
      <c r="K86" s="57">
        <f>IFERROR(VLOOKUP(B86,'Giro del Lario'!A:P,16,0),0)</f>
        <v>0</v>
      </c>
      <c r="L86" s="47">
        <f>IFERROR(VLOOKUP(B86,'Campo dei Fiori'!A:P,16,0),0)</f>
        <v>39.412799999999997</v>
      </c>
      <c r="M86" s="47">
        <f>IFERROR(VLOOKUP(B86,'Erba Ghisallo'!A:P,16,0),0)</f>
        <v>14.112000000000002</v>
      </c>
      <c r="N86" s="47">
        <f>IFERROR(VLOOKUP(B86,Ambrosiano!A:Q,16,0),0)</f>
        <v>0</v>
      </c>
      <c r="O86" s="47">
        <f>IFERROR(VLOOKUP(B86,Presolana!A:Q,16,0),0)</f>
        <v>0</v>
      </c>
      <c r="P86" s="4"/>
      <c r="Q86" s="60">
        <f t="shared" si="10"/>
        <v>53.524799999999999</v>
      </c>
      <c r="S86" s="56">
        <f>COUNTIF(G86:O86,"&lt;&gt;0")</f>
        <v>2</v>
      </c>
      <c r="T86" s="57">
        <f>VLOOKUP(S86,Regolamento!G$6:I$14,3,0)</f>
        <v>1.05</v>
      </c>
      <c r="V86" s="60">
        <f t="shared" si="9"/>
        <v>56.201039999999999</v>
      </c>
      <c r="Y86"/>
    </row>
    <row r="87" spans="1:26" x14ac:dyDescent="0.25">
      <c r="A87">
        <v>82</v>
      </c>
      <c r="B87" s="8" t="s">
        <v>80</v>
      </c>
      <c r="C87" s="12" t="str">
        <f>IFERROR(VLOOKUP(B87,concorrenti!A:C,3,0)," ")</f>
        <v>B</v>
      </c>
      <c r="D87" s="12">
        <f>VLOOKUP(B87,concorrenti!A:E,5,0)</f>
        <v>0</v>
      </c>
      <c r="E87" s="12">
        <f>VLOOKUP(B87,concorrenti!A:G,7,0)</f>
        <v>0</v>
      </c>
      <c r="F87" s="12" t="str">
        <f>VLOOKUP(B87,concorrenti!A$1:G$289,2,0)</f>
        <v>VALTELLINA</v>
      </c>
      <c r="G87" s="47">
        <f>IFERROR(VLOOKUP(B87,'Nora Sciplino'!A$12:P$68,16,0),0)</f>
        <v>44.087999999999994</v>
      </c>
      <c r="H87" s="47">
        <f>IFERROR(VLOOKUP(B87,Castellotti!A$12:P$66,16,0),0)</f>
        <v>0</v>
      </c>
      <c r="I87" s="75">
        <f>IFERROR(VLOOKUP(B87,Solidarietà!A:P,16,0),0)</f>
        <v>0</v>
      </c>
      <c r="J87" s="104">
        <f>SUM(G87:I87)/3*J$5</f>
        <v>11.586326399999999</v>
      </c>
      <c r="K87" s="57">
        <f>IFERROR(VLOOKUP(B87,'Giro del Lario'!A:P,16,0),0)</f>
        <v>0</v>
      </c>
      <c r="L87" s="47">
        <f>IFERROR(VLOOKUP(B87,'Campo dei Fiori'!A:P,16,0),0)</f>
        <v>0</v>
      </c>
      <c r="M87" s="47">
        <f>IFERROR(VLOOKUP(B87,'Erba Ghisallo'!A:P,16,0),0)</f>
        <v>0</v>
      </c>
      <c r="N87" s="47">
        <f>IFERROR(VLOOKUP(B87,Ambrosiano!A:Q,16,0),0)</f>
        <v>0</v>
      </c>
      <c r="O87" s="47">
        <f>IFERROR(VLOOKUP(B87,Presolana!A:Q,16,0),0)</f>
        <v>0</v>
      </c>
      <c r="Q87" s="60">
        <f t="shared" si="10"/>
        <v>55.674326399999991</v>
      </c>
      <c r="S87" s="56">
        <f>COUNTIF(G87:O87,"&lt;&gt;0")-1</f>
        <v>1</v>
      </c>
      <c r="T87" s="57">
        <f>VLOOKUP(S87,Regolamento!G$6:I$14,3,0)</f>
        <v>1</v>
      </c>
      <c r="V87" s="60">
        <f t="shared" si="9"/>
        <v>55.674326399999991</v>
      </c>
      <c r="Y87"/>
    </row>
    <row r="88" spans="1:26" x14ac:dyDescent="0.25">
      <c r="A88">
        <v>83</v>
      </c>
      <c r="B88" s="8" t="s">
        <v>312</v>
      </c>
      <c r="C88" s="12" t="str">
        <f>IFERROR(VLOOKUP(B88,concorrenti!A:C,3,0)," ")</f>
        <v>C</v>
      </c>
      <c r="D88" s="12">
        <f>VLOOKUP(B88,concorrenti!A:E,5,0)</f>
        <v>0</v>
      </c>
      <c r="E88" s="12">
        <f>VLOOKUP(B88,concorrenti!A:G,7,0)</f>
        <v>0</v>
      </c>
      <c r="F88" s="12" t="str">
        <f>VLOOKUP(B88,concorrenti!A$1:G$289,2,0)</f>
        <v>OROBICO</v>
      </c>
      <c r="G88" s="47">
        <f>IFERROR(VLOOKUP(B88,'Nora Sciplino'!A$12:P$68,16,0),0)</f>
        <v>0</v>
      </c>
      <c r="H88" s="47">
        <f>IFERROR(VLOOKUP(B88,Castellotti!A$12:P$66,16,0),0)</f>
        <v>0</v>
      </c>
      <c r="I88" s="75">
        <f>IFERROR(VLOOKUP(B88,Solidarietà!A:P,16,0),0)</f>
        <v>43.757999999999996</v>
      </c>
      <c r="J88" s="104">
        <f>SUM(G88:I88)/3*J$5</f>
        <v>11.499602399999999</v>
      </c>
      <c r="K88" s="57">
        <f>IFERROR(VLOOKUP(B88,'Giro del Lario'!A:P,16,0),0)</f>
        <v>0</v>
      </c>
      <c r="L88" s="47">
        <f>IFERROR(VLOOKUP(B88,'Campo dei Fiori'!A:P,16,0),0)</f>
        <v>0</v>
      </c>
      <c r="M88" s="47">
        <f>IFERROR(VLOOKUP(B88,'Erba Ghisallo'!A:P,16,0),0)</f>
        <v>0</v>
      </c>
      <c r="N88" s="47">
        <f>IFERROR(VLOOKUP(B88,Ambrosiano!A:Q,16,0),0)</f>
        <v>0</v>
      </c>
      <c r="O88" s="47">
        <f>IFERROR(VLOOKUP(B88,Presolana!A:Q,16,0),0)</f>
        <v>0</v>
      </c>
      <c r="P88" s="4"/>
      <c r="Q88" s="60">
        <f t="shared" si="10"/>
        <v>55.257602399999996</v>
      </c>
      <c r="S88" s="56">
        <f>COUNTIF(G88:O88,"&lt;&gt;0")-1</f>
        <v>1</v>
      </c>
      <c r="T88" s="57">
        <f>VLOOKUP(S88,Regolamento!G$6:I$14,3,0)</f>
        <v>1</v>
      </c>
      <c r="V88" s="60">
        <f t="shared" si="9"/>
        <v>55.257602399999996</v>
      </c>
      <c r="X88" s="10"/>
      <c r="Z88" s="119"/>
    </row>
    <row r="89" spans="1:26" x14ac:dyDescent="0.25">
      <c r="A89">
        <v>84</v>
      </c>
      <c r="B89" s="112" t="s">
        <v>350</v>
      </c>
      <c r="C89" s="76" t="str">
        <f>IFERROR(VLOOKUP(B89,concorrenti!A:C,3,0)," ")</f>
        <v>C</v>
      </c>
      <c r="D89" s="76">
        <f>VLOOKUP(B89,concorrenti!A:E,5,0)</f>
        <v>0</v>
      </c>
      <c r="E89" s="76" t="str">
        <f>VLOOKUP(B89,concorrenti!A:G,7,0)</f>
        <v>MECCANICO</v>
      </c>
      <c r="F89" s="76" t="str">
        <f>VLOOKUP(B89,concorrenti!A$1:G$289,2,0)</f>
        <v>VCC COMO</v>
      </c>
      <c r="G89" s="114">
        <f>IFERROR(VLOOKUP(B89,'Nora Sciplino'!A$12:P$68,16,0),0)</f>
        <v>0</v>
      </c>
      <c r="H89" s="114">
        <f>IFERROR(VLOOKUP(B89,Castellotti!A$12:P$66,16,0),0)</f>
        <v>0</v>
      </c>
      <c r="I89" s="115">
        <f>IFERROR(VLOOKUP(B89,Solidarietà!A:P,16,0),0)</f>
        <v>0</v>
      </c>
      <c r="J89" s="114">
        <v>0</v>
      </c>
      <c r="K89" s="127">
        <f>IFERROR(VLOOKUP(B89,'Giro del Lario'!A:P,16,0),0)</f>
        <v>54.6875</v>
      </c>
      <c r="L89" s="114">
        <f>IFERROR(VLOOKUP(B89,'Campo dei Fiori'!A:P,16,0),0)</f>
        <v>0</v>
      </c>
      <c r="M89" s="114">
        <f>IFERROR(VLOOKUP(B89,'Erba Ghisallo'!A:P,16,0),0)</f>
        <v>0</v>
      </c>
      <c r="N89" s="114">
        <f>IFERROR(VLOOKUP(B89,Ambrosiano!A:Q,16,0),0)</f>
        <v>0</v>
      </c>
      <c r="O89" s="47">
        <f>IFERROR(VLOOKUP(B89,Presolana!A:Q,16,0),0)</f>
        <v>0</v>
      </c>
      <c r="P89" s="4"/>
      <c r="Q89" s="60">
        <f t="shared" si="10"/>
        <v>54.6875</v>
      </c>
      <c r="R89" s="2"/>
      <c r="S89" s="56">
        <f>COUNTIF(G89:O89,"&lt;&gt;0")</f>
        <v>1</v>
      </c>
      <c r="T89" s="57">
        <f>VLOOKUP(S89,Regolamento!G$6:I$14,3,0)</f>
        <v>1</v>
      </c>
      <c r="U89" s="2"/>
      <c r="V89" s="60">
        <f t="shared" si="9"/>
        <v>54.6875</v>
      </c>
      <c r="X89" s="10"/>
      <c r="Z89" s="119"/>
    </row>
    <row r="90" spans="1:26" x14ac:dyDescent="0.25">
      <c r="A90">
        <v>85</v>
      </c>
      <c r="B90" s="8" t="s">
        <v>348</v>
      </c>
      <c r="C90" s="12" t="str">
        <f>IFERROR(VLOOKUP(B90,concorrenti!A:C,3,0)," ")</f>
        <v>B</v>
      </c>
      <c r="D90" s="12">
        <f>VLOOKUP(B90,concorrenti!A:E,5,0)</f>
        <v>0</v>
      </c>
      <c r="E90" s="12" t="str">
        <f>VLOOKUP(B90,concorrenti!A:G,7,0)</f>
        <v>MECCANICO</v>
      </c>
      <c r="F90" s="12" t="str">
        <f>VLOOKUP(B90,concorrenti!A$1:G$289,2,0)</f>
        <v>VCC COMO</v>
      </c>
      <c r="G90" s="47">
        <f>IFERROR(VLOOKUP(B90,'Nora Sciplino'!A$12:P$68,16,0),0)</f>
        <v>0</v>
      </c>
      <c r="H90" s="47">
        <f>IFERROR(VLOOKUP(B90,Castellotti!A$12:P$66,16,0),0)</f>
        <v>0</v>
      </c>
      <c r="I90" s="75">
        <f>IFERROR(VLOOKUP(B90,Solidarietà!A:P,16,0),0)</f>
        <v>0</v>
      </c>
      <c r="J90" s="104">
        <v>0</v>
      </c>
      <c r="K90" s="57">
        <f>IFERROR(VLOOKUP(B90,'Giro del Lario'!A:P,16,0),0)</f>
        <v>50.3125</v>
      </c>
      <c r="L90" s="47">
        <f>IFERROR(VLOOKUP(B90,'Campo dei Fiori'!A:P,16,0),0)</f>
        <v>0</v>
      </c>
      <c r="M90" s="47">
        <f>IFERROR(VLOOKUP(B90,'Erba Ghisallo'!A:P,16,0),0)</f>
        <v>1.1759999999999999</v>
      </c>
      <c r="N90" s="47">
        <f>IFERROR(VLOOKUP(B90,Ambrosiano!A:Q,16,0),0)</f>
        <v>0</v>
      </c>
      <c r="O90" s="47">
        <f>IFERROR(VLOOKUP(B90,Presolana!A:Q,16,0),0)</f>
        <v>0</v>
      </c>
      <c r="P90" s="4"/>
      <c r="Q90" s="60">
        <f t="shared" si="10"/>
        <v>51.488500000000002</v>
      </c>
      <c r="S90" s="56">
        <f>COUNTIF(G90:O90,"&lt;&gt;0")</f>
        <v>2</v>
      </c>
      <c r="T90" s="57">
        <f>VLOOKUP(S90,Regolamento!G$6:I$14,3,0)</f>
        <v>1.05</v>
      </c>
      <c r="V90" s="60">
        <f t="shared" si="9"/>
        <v>54.062925000000007</v>
      </c>
      <c r="Y90"/>
    </row>
    <row r="91" spans="1:26" x14ac:dyDescent="0.25">
      <c r="A91">
        <v>86</v>
      </c>
      <c r="B91" s="8" t="s">
        <v>91</v>
      </c>
      <c r="C91" s="12" t="str">
        <f>IFERROR(VLOOKUP(B91,concorrenti!A:C,3,0)," ")</f>
        <v>C</v>
      </c>
      <c r="D91" s="12">
        <f>VLOOKUP(B91,concorrenti!A:E,5,0)</f>
        <v>0</v>
      </c>
      <c r="E91" s="12" t="str">
        <f>VLOOKUP(B91,concorrenti!A:G,7,0)</f>
        <v>MECCANICO</v>
      </c>
      <c r="F91" s="12" t="str">
        <f>VLOOKUP(B91,concorrenti!A$1:G$289,2,0)</f>
        <v>VALTELLINA</v>
      </c>
      <c r="G91" s="47">
        <f>IFERROR(VLOOKUP(B91,'Nora Sciplino'!A$12:P$68,16,0),0)</f>
        <v>1.3777499999999998</v>
      </c>
      <c r="H91" s="47">
        <f>IFERROR(VLOOKUP(B91,Castellotti!A$12:P$66,16,0),0)</f>
        <v>0</v>
      </c>
      <c r="I91" s="75">
        <f>IFERROR(VLOOKUP(B91,Solidarietà!A:P,16,0),0)</f>
        <v>0</v>
      </c>
      <c r="J91" s="104">
        <f>SUM(G91:I91)/3*J$5</f>
        <v>0.36207269999999997</v>
      </c>
      <c r="K91" s="57">
        <f>IFERROR(VLOOKUP(B91,'Giro del Lario'!A:P,16,0),0)</f>
        <v>45.9375</v>
      </c>
      <c r="L91" s="47">
        <f>IFERROR(VLOOKUP(B91,'Campo dei Fiori'!A:P,16,0),0)</f>
        <v>0</v>
      </c>
      <c r="M91" s="47">
        <f>IFERROR(VLOOKUP(B91,'Erba Ghisallo'!A:P,16,0),0)</f>
        <v>1.1759999999999999</v>
      </c>
      <c r="N91" s="47">
        <f>IFERROR(VLOOKUP(B91,Ambrosiano!A:Q,16,0),0)</f>
        <v>0</v>
      </c>
      <c r="O91" s="47">
        <f>IFERROR(VLOOKUP(B91,Presolana!A:Q,16,0),0)</f>
        <v>0</v>
      </c>
      <c r="P91" s="4"/>
      <c r="Q91" s="60">
        <f t="shared" si="10"/>
        <v>48.8533227</v>
      </c>
      <c r="S91" s="56">
        <f>COUNTIF(G91:O91,"&lt;&gt;0")-1</f>
        <v>3</v>
      </c>
      <c r="T91" s="57">
        <f>VLOOKUP(S91,Regolamento!G$6:I$14,3,0)</f>
        <v>1.1000000000000001</v>
      </c>
      <c r="V91" s="60">
        <f t="shared" si="9"/>
        <v>53.738654970000006</v>
      </c>
      <c r="X91" s="10"/>
      <c r="Z91" s="119"/>
    </row>
    <row r="92" spans="1:26" x14ac:dyDescent="0.25">
      <c r="A92">
        <v>87</v>
      </c>
      <c r="B92" s="107" t="s">
        <v>453</v>
      </c>
      <c r="C92" s="108" t="str">
        <f>IFERROR(VLOOKUP(B92,concorrenti!A:C,3,0)," ")</f>
        <v>C</v>
      </c>
      <c r="D92" s="108" t="str">
        <f>VLOOKUP(B92,concorrenti!A:E,5,0)</f>
        <v>X</v>
      </c>
      <c r="E92" s="108">
        <f>VLOOKUP(B92,concorrenti!A:G,7,0)</f>
        <v>0</v>
      </c>
      <c r="F92" s="108" t="str">
        <f>VLOOKUP(B92,concorrenti!A$1:G$289,2,0)</f>
        <v>GAMS</v>
      </c>
      <c r="G92" s="109">
        <f>IFERROR(VLOOKUP(B92,'Nora Sciplino'!A$12:P$68,16,0),0)</f>
        <v>0</v>
      </c>
      <c r="H92" s="109">
        <f>IFERROR(VLOOKUP(B92,Castellotti!A$12:P$66,16,0),0)</f>
        <v>0</v>
      </c>
      <c r="I92" s="110">
        <f>IFERROR(VLOOKUP(B92,Solidarietà!A:P,16,0),0)</f>
        <v>0</v>
      </c>
      <c r="J92" s="109">
        <v>0</v>
      </c>
      <c r="K92" s="124">
        <f>IFERROR(VLOOKUP(B92,'Giro del Lario'!A:P,16,0),0)</f>
        <v>0</v>
      </c>
      <c r="L92" s="109">
        <f>IFERROR(VLOOKUP(B92,'Campo dei Fiori'!A:P,16,0),0)</f>
        <v>53.488799999999991</v>
      </c>
      <c r="M92" s="109">
        <f>IFERROR(VLOOKUP(B92,'Erba Ghisallo'!A:P,16,0),0)</f>
        <v>0</v>
      </c>
      <c r="N92" s="109">
        <f>IFERROR(VLOOKUP(B92,Ambrosiano!A:Q,16,0),0)</f>
        <v>0</v>
      </c>
      <c r="O92" s="47">
        <f>IFERROR(VLOOKUP(B92,Presolana!A:Q,16,0),0)</f>
        <v>0</v>
      </c>
      <c r="P92" s="4"/>
      <c r="Q92" s="60">
        <f t="shared" si="10"/>
        <v>53.488799999999991</v>
      </c>
      <c r="S92" s="56">
        <f>COUNTIF(G92:O92,"&lt;&gt;0")</f>
        <v>1</v>
      </c>
      <c r="T92" s="57">
        <f>VLOOKUP(S92,Regolamento!G$6:I$14,3,0)</f>
        <v>1</v>
      </c>
      <c r="V92" s="118">
        <f t="shared" si="9"/>
        <v>53.488799999999991</v>
      </c>
      <c r="Y92"/>
    </row>
    <row r="93" spans="1:26" x14ac:dyDescent="0.25">
      <c r="A93">
        <v>88</v>
      </c>
      <c r="B93" s="8" t="s">
        <v>456</v>
      </c>
      <c r="C93" s="12" t="str">
        <f>IFERROR(VLOOKUP(B93,concorrenti!A:C,3,0)," ")</f>
        <v>C</v>
      </c>
      <c r="D93" s="12">
        <f>VLOOKUP(B93,concorrenti!A:E,5,0)</f>
        <v>0</v>
      </c>
      <c r="E93" s="12" t="str">
        <f>VLOOKUP(B93,concorrenti!A:G,7,0)</f>
        <v>MECCANICO</v>
      </c>
      <c r="F93" s="12" t="str">
        <f>VLOOKUP(B93,concorrenti!A$1:G$289,2,0)</f>
        <v>VAMS</v>
      </c>
      <c r="G93" s="47">
        <f>IFERROR(VLOOKUP(B93,'Nora Sciplino'!A$12:P$68,16,0),0)</f>
        <v>0</v>
      </c>
      <c r="H93" s="47">
        <f>IFERROR(VLOOKUP(B93,Castellotti!A$12:P$66,16,0),0)</f>
        <v>0</v>
      </c>
      <c r="I93" s="75">
        <f>IFERROR(VLOOKUP(B93,Solidarietà!A:P,16,0),0)</f>
        <v>0</v>
      </c>
      <c r="J93" s="104"/>
      <c r="K93" s="57">
        <f>IFERROR(VLOOKUP(B93,'Giro del Lario'!A:P,16,0),0)</f>
        <v>0</v>
      </c>
      <c r="L93" s="47">
        <f>IFERROR(VLOOKUP(B93,'Campo dei Fiori'!A:P,16,0),0)</f>
        <v>50.6736</v>
      </c>
      <c r="M93" s="47">
        <f>IFERROR(VLOOKUP(B93,'Erba Ghisallo'!A:P,16,0),0)</f>
        <v>0</v>
      </c>
      <c r="N93" s="47">
        <f>IFERROR(VLOOKUP(B93,Ambrosiano!A:Q,16,0),0)</f>
        <v>0</v>
      </c>
      <c r="O93" s="47">
        <f>IFERROR(VLOOKUP(B93,Presolana!A:Q,16,0),0)</f>
        <v>0</v>
      </c>
      <c r="P93" s="4"/>
      <c r="Q93" s="60">
        <f t="shared" si="10"/>
        <v>50.6736</v>
      </c>
      <c r="S93" s="56">
        <f>COUNTIF(G93:O93,"&lt;&gt;0")</f>
        <v>2</v>
      </c>
      <c r="T93" s="57">
        <f>VLOOKUP(S93,Regolamento!G$6:I$14,3,0)</f>
        <v>1.05</v>
      </c>
      <c r="V93" s="60">
        <f t="shared" si="9"/>
        <v>53.207280000000004</v>
      </c>
      <c r="X93" s="10"/>
      <c r="Z93" s="119"/>
    </row>
    <row r="94" spans="1:26" x14ac:dyDescent="0.25">
      <c r="A94">
        <v>89</v>
      </c>
      <c r="B94" s="8" t="s">
        <v>384</v>
      </c>
      <c r="C94" s="12" t="str">
        <f>IFERROR(VLOOKUP(B94,concorrenti!A:C,3,0)," ")</f>
        <v>C</v>
      </c>
      <c r="D94" s="12">
        <f>VLOOKUP(B94,concorrenti!A:E,5,0)</f>
        <v>0</v>
      </c>
      <c r="E94" s="12" t="str">
        <f>VLOOKUP(B94,concorrenti!A:G,7,0)</f>
        <v>MECCANICO</v>
      </c>
      <c r="F94" s="12" t="str">
        <f>VLOOKUP(B94,concorrenti!A$1:G$289,2,0)</f>
        <v>GAMS</v>
      </c>
      <c r="G94" s="47">
        <f>IFERROR(VLOOKUP(B94,'Nora Sciplino'!A$12:P$68,16,0),0)</f>
        <v>0</v>
      </c>
      <c r="H94" s="47">
        <f>IFERROR(VLOOKUP(B94,Castellotti!A$12:P$66,16,0),0)</f>
        <v>0</v>
      </c>
      <c r="I94" s="75">
        <f>IFERROR(VLOOKUP(B94,Solidarietà!A:P,16,0),0)</f>
        <v>0</v>
      </c>
      <c r="J94" s="47">
        <f>IFERROR(VLOOKUP(B94,Gallarate!A:P,16,0),0)</f>
        <v>52.483199999999997</v>
      </c>
      <c r="K94" s="57">
        <f>IFERROR(VLOOKUP(B94,'Giro del Lario'!A:P,16,0),0)</f>
        <v>0</v>
      </c>
      <c r="L94" s="47">
        <f>IFERROR(VLOOKUP(B94,'Campo dei Fiori'!A:P,16,0),0)</f>
        <v>0</v>
      </c>
      <c r="M94" s="47">
        <f>IFERROR(VLOOKUP(B94,'Erba Ghisallo'!A:P,16,0),0)</f>
        <v>0</v>
      </c>
      <c r="N94" s="47">
        <f>IFERROR(VLOOKUP(B94,Ambrosiano!A:Q,16,0),0)</f>
        <v>0</v>
      </c>
      <c r="O94" s="47">
        <f>IFERROR(VLOOKUP(B94,Presolana!A:Q,16,0),0)</f>
        <v>0</v>
      </c>
      <c r="P94" s="4"/>
      <c r="Q94" s="60">
        <f t="shared" si="10"/>
        <v>52.483199999999997</v>
      </c>
      <c r="S94" s="56">
        <f>COUNTIF(G94:O94,"&lt;&gt;0")</f>
        <v>1</v>
      </c>
      <c r="T94" s="57">
        <f>VLOOKUP(S94,Regolamento!G$6:I$14,3,0)</f>
        <v>1</v>
      </c>
      <c r="V94" s="60">
        <f t="shared" si="9"/>
        <v>52.483199999999997</v>
      </c>
      <c r="X94" s="10"/>
      <c r="Z94" s="119"/>
    </row>
    <row r="95" spans="1:26" x14ac:dyDescent="0.25">
      <c r="A95">
        <v>90</v>
      </c>
      <c r="B95" s="8" t="s">
        <v>197</v>
      </c>
      <c r="C95" s="12" t="str">
        <f>IFERROR(VLOOKUP(B95,concorrenti!A:C,3,0)," ")</f>
        <v>C</v>
      </c>
      <c r="D95" s="12">
        <f>VLOOKUP(B95,concorrenti!A:E,5,0)</f>
        <v>0</v>
      </c>
      <c r="E95" s="12">
        <f>VLOOKUP(B95,concorrenti!A:G,7,0)</f>
        <v>0</v>
      </c>
      <c r="F95" s="12" t="str">
        <f>VLOOKUP(B95,concorrenti!A$1:G$289,2,0)</f>
        <v>CASTELLOTTI</v>
      </c>
      <c r="G95" s="47">
        <f>IFERROR(VLOOKUP(B95,'Nora Sciplino'!A$12:P$68,16,0),0)</f>
        <v>0</v>
      </c>
      <c r="H95" s="47">
        <f>IFERROR(VLOOKUP(B95,Castellotti!A$12:P$66,16,0),0)</f>
        <v>40.754999999999995</v>
      </c>
      <c r="I95" s="75">
        <f>IFERROR(VLOOKUP(B95,Solidarietà!A:P,16,0),0)</f>
        <v>0</v>
      </c>
      <c r="J95" s="104">
        <f>SUM(G95:I95)/3*J$5</f>
        <v>10.710413999999998</v>
      </c>
      <c r="K95" s="57">
        <f>IFERROR(VLOOKUP(B95,'Giro del Lario'!A:P,16,0),0)</f>
        <v>0</v>
      </c>
      <c r="L95" s="47">
        <f>IFERROR(VLOOKUP(B95,'Campo dei Fiori'!A:P,16,0),0)</f>
        <v>0</v>
      </c>
      <c r="M95" s="47">
        <f>IFERROR(VLOOKUP(B95,'Erba Ghisallo'!A:P,16,0),0)</f>
        <v>0</v>
      </c>
      <c r="N95" s="47">
        <f>IFERROR(VLOOKUP(B95,Ambrosiano!A:Q,16,0),0)</f>
        <v>0</v>
      </c>
      <c r="O95" s="47">
        <f>IFERROR(VLOOKUP(B95,Presolana!A:Q,16,0),0)</f>
        <v>0</v>
      </c>
      <c r="P95" s="4"/>
      <c r="Q95" s="60">
        <f t="shared" si="10"/>
        <v>51.465413999999996</v>
      </c>
      <c r="S95" s="56">
        <f>COUNTIF(G95:O95,"&lt;&gt;0")-1</f>
        <v>1</v>
      </c>
      <c r="T95" s="57">
        <f>VLOOKUP(S95,Regolamento!G$6:I$14,3,0)</f>
        <v>1</v>
      </c>
      <c r="V95" s="60">
        <f t="shared" si="9"/>
        <v>51.465413999999996</v>
      </c>
      <c r="X95" s="10"/>
      <c r="Z95" s="119"/>
    </row>
    <row r="96" spans="1:26" x14ac:dyDescent="0.25">
      <c r="A96">
        <v>91</v>
      </c>
      <c r="B96" s="8" t="s">
        <v>394</v>
      </c>
      <c r="C96" s="12" t="str">
        <f>IFERROR(VLOOKUP(B96,concorrenti!A:C,3,0)," ")</f>
        <v>C</v>
      </c>
      <c r="D96" s="12">
        <f>VLOOKUP(B96,concorrenti!A:E,5,0)</f>
        <v>0</v>
      </c>
      <c r="E96" s="12" t="str">
        <f>VLOOKUP(B96,concorrenti!A:G,7,0)</f>
        <v>MECCANICO</v>
      </c>
      <c r="F96" s="12" t="str">
        <f>VLOOKUP(B96,concorrenti!A$1:G$289,2,0)</f>
        <v>GAMS</v>
      </c>
      <c r="G96" s="47">
        <f>IFERROR(VLOOKUP(B96,'Nora Sciplino'!A$12:P$68,16,0),0)</f>
        <v>1.3777499999999998</v>
      </c>
      <c r="H96" s="47">
        <f>IFERROR(VLOOKUP(B96,Castellotti!A$12:P$66,16,0),0)</f>
        <v>0</v>
      </c>
      <c r="I96" s="75">
        <f>IFERROR(VLOOKUP(B96,Solidarietà!A:P,16,0),0)</f>
        <v>0</v>
      </c>
      <c r="J96" s="47">
        <f>IFERROR(VLOOKUP(B96,Gallarate!A:P,16,0),0)</f>
        <v>1.0933999999999999</v>
      </c>
      <c r="K96" s="57">
        <f>IFERROR(VLOOKUP(B96,'Giro del Lario'!A:P,16,0),0)</f>
        <v>0</v>
      </c>
      <c r="L96" s="47">
        <f>IFERROR(VLOOKUP(B96,'Campo dei Fiori'!A:P,16,0),0)</f>
        <v>42.227999999999994</v>
      </c>
      <c r="M96" s="47">
        <f>IFERROR(VLOOKUP(B96,'Erba Ghisallo'!A:P,16,0),0)</f>
        <v>0</v>
      </c>
      <c r="N96" s="47">
        <f>IFERROR(VLOOKUP(B96,Ambrosiano!A:Q,16,0),0)</f>
        <v>0</v>
      </c>
      <c r="O96" s="47">
        <f>IFERROR(VLOOKUP(B96,Presolana!A:Q,16,0),0)</f>
        <v>0</v>
      </c>
      <c r="P96" s="4"/>
      <c r="Q96" s="60">
        <f t="shared" si="10"/>
        <v>44.699149999999996</v>
      </c>
      <c r="S96" s="56">
        <f>COUNTIF(G96:O96,"&lt;&gt;0")</f>
        <v>3</v>
      </c>
      <c r="T96" s="57">
        <f>VLOOKUP(S96,Regolamento!G$6:I$14,3,0)</f>
        <v>1.1000000000000001</v>
      </c>
      <c r="V96" s="60">
        <f t="shared" si="9"/>
        <v>49.169064999999996</v>
      </c>
      <c r="Y96"/>
    </row>
    <row r="97" spans="1:26" x14ac:dyDescent="0.25">
      <c r="A97">
        <v>92</v>
      </c>
      <c r="B97" s="8" t="s">
        <v>458</v>
      </c>
      <c r="C97" s="12" t="str">
        <f>IFERROR(VLOOKUP(B97,concorrenti!A:C,3,0)," ")</f>
        <v>C</v>
      </c>
      <c r="D97" s="12">
        <f>VLOOKUP(B97,concorrenti!A:E,5,0)</f>
        <v>0</v>
      </c>
      <c r="E97" s="12" t="str">
        <f>VLOOKUP(B97,concorrenti!A:G,7,0)</f>
        <v>MECCANICO</v>
      </c>
      <c r="F97" s="12" t="str">
        <f>VLOOKUP(B97,concorrenti!A$1:G$289,2,0)</f>
        <v>GAMS</v>
      </c>
      <c r="G97" s="47">
        <f>IFERROR(VLOOKUP(B97,'Nora Sciplino'!A$12:P$68,16,0),0)</f>
        <v>1.3777499999999998</v>
      </c>
      <c r="H97" s="47">
        <f>IFERROR(VLOOKUP(B97,Castellotti!A$12:P$66,16,0),0)</f>
        <v>0</v>
      </c>
      <c r="I97" s="75">
        <f>IFERROR(VLOOKUP(B97,Solidarietà!A:P,16,0),0)</f>
        <v>0</v>
      </c>
      <c r="J97" s="104">
        <f>SUM(G97:I97)/3*J$5</f>
        <v>0.36207269999999997</v>
      </c>
      <c r="K97" s="57">
        <f>IFERROR(VLOOKUP(B97,'Giro del Lario'!A:P,16,0),0)</f>
        <v>0</v>
      </c>
      <c r="L97" s="47">
        <f>IFERROR(VLOOKUP(B97,'Campo dei Fiori'!A:P,16,0),0)</f>
        <v>45.043199999999999</v>
      </c>
      <c r="M97" s="47">
        <f>IFERROR(VLOOKUP(B97,'Erba Ghisallo'!A:P,16,0),0)</f>
        <v>0</v>
      </c>
      <c r="N97" s="47">
        <f>IFERROR(VLOOKUP(B97,Ambrosiano!A:Q,16,0),0)</f>
        <v>0</v>
      </c>
      <c r="O97" s="47">
        <f>IFERROR(VLOOKUP(B97,Presolana!A:Q,16,0),0)</f>
        <v>0</v>
      </c>
      <c r="P97" s="4"/>
      <c r="Q97" s="60">
        <f t="shared" si="10"/>
        <v>46.783022699999997</v>
      </c>
      <c r="S97" s="56">
        <f>COUNTIF(G97:O97,"&lt;&gt;0")-1</f>
        <v>2</v>
      </c>
      <c r="T97" s="57">
        <f>VLOOKUP(S97,Regolamento!G$6:I$14,3,0)</f>
        <v>1.05</v>
      </c>
      <c r="V97" s="60">
        <f t="shared" si="9"/>
        <v>49.122173834999998</v>
      </c>
      <c r="X97" s="10"/>
      <c r="Z97" s="119"/>
    </row>
    <row r="98" spans="1:26" x14ac:dyDescent="0.25">
      <c r="A98">
        <v>93</v>
      </c>
      <c r="B98" s="8" t="s">
        <v>389</v>
      </c>
      <c r="C98" s="12" t="str">
        <f>IFERROR(VLOOKUP(B98,concorrenti!A:C,3,0)," ")</f>
        <v>C</v>
      </c>
      <c r="D98" s="12">
        <f>VLOOKUP(B98,concorrenti!A:E,5,0)</f>
        <v>0</v>
      </c>
      <c r="E98" s="12">
        <f>VLOOKUP(B98,concorrenti!A:G,7,0)</f>
        <v>0</v>
      </c>
      <c r="F98" s="12" t="str">
        <f>VLOOKUP(B98,concorrenti!A$1:G$289,2,0)</f>
        <v>GAMS</v>
      </c>
      <c r="G98" s="47">
        <f>IFERROR(VLOOKUP(B98,'Nora Sciplino'!A$12:P$68,16,0),0)</f>
        <v>0</v>
      </c>
      <c r="H98" s="47">
        <f>IFERROR(VLOOKUP(B98,Castellotti!A$12:P$66,16,0),0)</f>
        <v>0</v>
      </c>
      <c r="I98" s="75">
        <f>IFERROR(VLOOKUP(B98,Solidarietà!A:P,16,0),0)</f>
        <v>0</v>
      </c>
      <c r="J98" s="47">
        <f>IFERROR(VLOOKUP(B98,Gallarate!A:P,16,0),0)</f>
        <v>48.1096</v>
      </c>
      <c r="K98" s="57">
        <f>IFERROR(VLOOKUP(B98,'Giro del Lario'!A:P,16,0),0)</f>
        <v>0</v>
      </c>
      <c r="L98" s="47">
        <f>IFERROR(VLOOKUP(B98,'Campo dei Fiori'!A:P,16,0),0)</f>
        <v>0</v>
      </c>
      <c r="M98" s="47">
        <f>IFERROR(VLOOKUP(B98,'Erba Ghisallo'!A:P,16,0),0)</f>
        <v>0</v>
      </c>
      <c r="N98" s="47">
        <f>IFERROR(VLOOKUP(B98,Ambrosiano!A:Q,16,0),0)</f>
        <v>0</v>
      </c>
      <c r="O98" s="47">
        <f>IFERROR(VLOOKUP(B98,Presolana!A:Q,16,0),0)</f>
        <v>0</v>
      </c>
      <c r="P98" s="4"/>
      <c r="Q98" s="60">
        <f t="shared" si="10"/>
        <v>48.1096</v>
      </c>
      <c r="S98" s="56">
        <f>COUNTIF(G98:O98,"&lt;&gt;0")</f>
        <v>1</v>
      </c>
      <c r="T98" s="57">
        <f>VLOOKUP(S98,Regolamento!G$6:I$14,3,0)</f>
        <v>1</v>
      </c>
      <c r="V98" s="60">
        <f t="shared" si="9"/>
        <v>48.1096</v>
      </c>
      <c r="Y98"/>
    </row>
    <row r="99" spans="1:26" x14ac:dyDescent="0.25">
      <c r="A99">
        <v>94</v>
      </c>
      <c r="B99" t="s">
        <v>195</v>
      </c>
      <c r="C99" s="12" t="str">
        <f>IFERROR(VLOOKUP(B99,concorrenti!A:C,3,0)," ")</f>
        <v>C</v>
      </c>
      <c r="D99" s="12">
        <f>VLOOKUP(B99,concorrenti!A:E,5,0)</f>
        <v>0</v>
      </c>
      <c r="E99" s="12">
        <f>VLOOKUP(B99,concorrenti!A:G,7,0)</f>
        <v>0</v>
      </c>
      <c r="F99" s="12" t="str">
        <f>VLOOKUP(B99,concorrenti!A$1:G$289,2,0)</f>
        <v>CASTELLOTTI</v>
      </c>
      <c r="G99" s="47">
        <f>IFERROR(VLOOKUP(B99,'Nora Sciplino'!A$12:P$68,16,0),0)</f>
        <v>0</v>
      </c>
      <c r="H99" s="47">
        <f>IFERROR(VLOOKUP(B99,Castellotti!A$12:P$66,16,0),0)</f>
        <v>37.61999999999999</v>
      </c>
      <c r="I99" s="75">
        <f>IFERROR(VLOOKUP(B99,Solidarietà!A:P,16,0),0)</f>
        <v>0</v>
      </c>
      <c r="J99" s="104">
        <f>SUM(G99:I99)/3*J$5</f>
        <v>9.8865359999999978</v>
      </c>
      <c r="K99" s="57">
        <f>IFERROR(VLOOKUP(B99,'Giro del Lario'!A:P,16,0),0)</f>
        <v>0</v>
      </c>
      <c r="L99" s="47">
        <f>IFERROR(VLOOKUP(B99,'Campo dei Fiori'!A:P,16,0),0)</f>
        <v>0</v>
      </c>
      <c r="M99" s="47">
        <f>IFERROR(VLOOKUP(B99,'Erba Ghisallo'!A:P,16,0),0)</f>
        <v>0</v>
      </c>
      <c r="N99" s="47">
        <f>IFERROR(VLOOKUP(B99,Ambrosiano!A:Q,16,0),0)</f>
        <v>0</v>
      </c>
      <c r="O99" s="47">
        <f>IFERROR(VLOOKUP(B99,Presolana!A:Q,16,0),0)</f>
        <v>0</v>
      </c>
      <c r="P99" s="4"/>
      <c r="Q99" s="60">
        <f t="shared" si="10"/>
        <v>47.50653599999999</v>
      </c>
      <c r="S99" s="56">
        <f>COUNTIF(G99:O99,"&lt;&gt;0")-1</f>
        <v>1</v>
      </c>
      <c r="T99" s="57">
        <f>VLOOKUP(S99,Regolamento!G$6:I$14,3,0)</f>
        <v>1</v>
      </c>
      <c r="V99" s="60">
        <f t="shared" si="9"/>
        <v>47.50653599999999</v>
      </c>
      <c r="Y99"/>
    </row>
    <row r="100" spans="1:26" x14ac:dyDescent="0.25">
      <c r="A100">
        <v>95</v>
      </c>
      <c r="B100" s="8" t="s">
        <v>25</v>
      </c>
      <c r="C100" s="12" t="str">
        <f>IFERROR(VLOOKUP(B100,concorrenti!A:C,3,0)," ")</f>
        <v>B</v>
      </c>
      <c r="D100" s="12">
        <f>VLOOKUP(B100,concorrenti!A:E,5,0)</f>
        <v>0</v>
      </c>
      <c r="E100" s="12" t="str">
        <f>VLOOKUP(B100,concorrenti!A:G,7,0)</f>
        <v>MECCANICO</v>
      </c>
      <c r="F100" s="12" t="str">
        <f>VLOOKUP(B100,concorrenti!A$1:G$289,2,0)</f>
        <v>VAMS</v>
      </c>
      <c r="G100" s="47">
        <f>IFERROR(VLOOKUP(B100,'Nora Sciplino'!A$12:P$68,16,0),0)</f>
        <v>1.3777499999999998</v>
      </c>
      <c r="H100" s="47">
        <f>IFERROR(VLOOKUP(B100,Castellotti!A$12:P$66,16,0),0)</f>
        <v>0</v>
      </c>
      <c r="I100" s="75">
        <f>IFERROR(VLOOKUP(B100,Solidarietà!A:P,16,0),0)</f>
        <v>0</v>
      </c>
      <c r="J100" s="47">
        <f>IFERROR(VLOOKUP(B100,Gallarate!A:P,16,0),0)</f>
        <v>43.735999999999997</v>
      </c>
      <c r="K100" s="57">
        <f>IFERROR(VLOOKUP(B100,'Giro del Lario'!A:P,16,0),0)</f>
        <v>0</v>
      </c>
      <c r="L100" s="47">
        <f>IFERROR(VLOOKUP(B100,'Campo dei Fiori'!A:P,16,0),0)</f>
        <v>0</v>
      </c>
      <c r="M100" s="47">
        <f>IFERROR(VLOOKUP(B100,'Erba Ghisallo'!A:P,16,0),0)</f>
        <v>0</v>
      </c>
      <c r="N100" s="47">
        <f>IFERROR(VLOOKUP(B100,Ambrosiano!A:Q,16,0),0)</f>
        <v>0</v>
      </c>
      <c r="O100" s="47">
        <f>IFERROR(VLOOKUP(B100,Presolana!A:Q,16,0),0)</f>
        <v>0</v>
      </c>
      <c r="P100" s="4"/>
      <c r="Q100" s="60">
        <f t="shared" si="10"/>
        <v>45.113749999999996</v>
      </c>
      <c r="S100" s="56">
        <f>COUNTIF(G100:O100,"&lt;&gt;0")</f>
        <v>2</v>
      </c>
      <c r="T100" s="57">
        <f>VLOOKUP(S100,Regolamento!G$6:I$14,3,0)</f>
        <v>1.05</v>
      </c>
      <c r="V100" s="60">
        <f t="shared" si="9"/>
        <v>47.369437499999997</v>
      </c>
      <c r="Y100"/>
    </row>
    <row r="101" spans="1:26" x14ac:dyDescent="0.25">
      <c r="A101">
        <v>96</v>
      </c>
      <c r="B101" t="s">
        <v>194</v>
      </c>
      <c r="C101" s="12" t="str">
        <f>IFERROR(VLOOKUP(B101,concorrenti!A:C,3,0)," ")</f>
        <v>C</v>
      </c>
      <c r="D101" s="12">
        <f>VLOOKUP(B101,concorrenti!A:E,5,0)</f>
        <v>0</v>
      </c>
      <c r="E101" s="12">
        <f>VLOOKUP(B101,concorrenti!A:G,7,0)</f>
        <v>0</v>
      </c>
      <c r="F101" s="12" t="str">
        <f>VLOOKUP(B101,concorrenti!A$1:G$289,2,0)</f>
        <v>CASTELLOTTI</v>
      </c>
      <c r="G101" s="47">
        <f>IFERROR(VLOOKUP(B101,'Nora Sciplino'!A$12:P$68,16,0),0)</f>
        <v>0</v>
      </c>
      <c r="H101" s="47">
        <f>IFERROR(VLOOKUP(B101,Castellotti!A$12:P$66,16,0),0)</f>
        <v>3.1349999999999998</v>
      </c>
      <c r="I101" s="75">
        <f>IFERROR(VLOOKUP(B101,Solidarietà!A:P,16,0),0)</f>
        <v>0</v>
      </c>
      <c r="J101" s="104">
        <f>SUM(G101:I101)/3*J$5</f>
        <v>0.82387799999999989</v>
      </c>
      <c r="K101" s="57">
        <f>IFERROR(VLOOKUP(B101,'Giro del Lario'!A:P,16,0),0)</f>
        <v>0</v>
      </c>
      <c r="L101" s="47">
        <f>IFERROR(VLOOKUP(B101,'Campo dei Fiori'!A:P,16,0),0)</f>
        <v>0</v>
      </c>
      <c r="M101" s="47">
        <f>IFERROR(VLOOKUP(B101,'Erba Ghisallo'!A:P,16,0),0)</f>
        <v>0</v>
      </c>
      <c r="N101" s="47">
        <f>IFERROR(VLOOKUP(B101,Ambrosiano!A:Q,16,0),0)</f>
        <v>40.086200000000005</v>
      </c>
      <c r="O101" s="47">
        <f>IFERROR(VLOOKUP(B101,Presolana!A:Q,16,0),0)</f>
        <v>0</v>
      </c>
      <c r="P101" s="4"/>
      <c r="Q101" s="60">
        <f t="shared" si="10"/>
        <v>44.045078000000004</v>
      </c>
      <c r="S101" s="56">
        <f>COUNTIF(G101:O101,"&lt;&gt;0")-1</f>
        <v>2</v>
      </c>
      <c r="T101" s="57">
        <f>VLOOKUP(S101,Regolamento!G$6:I$14,3,0)</f>
        <v>1.05</v>
      </c>
      <c r="V101" s="60">
        <f t="shared" si="9"/>
        <v>46.247331900000006</v>
      </c>
      <c r="X101" s="10"/>
      <c r="Z101" s="119"/>
    </row>
    <row r="102" spans="1:26" x14ac:dyDescent="0.25">
      <c r="A102">
        <v>97</v>
      </c>
      <c r="B102" s="8" t="s">
        <v>379</v>
      </c>
      <c r="C102" s="12" t="str">
        <f>IFERROR(VLOOKUP(B102,concorrenti!A:C,3,0)," ")</f>
        <v>C</v>
      </c>
      <c r="D102" s="12">
        <f>VLOOKUP(B102,concorrenti!A:E,5,0)</f>
        <v>0</v>
      </c>
      <c r="E102" s="12">
        <f>VLOOKUP(B102,concorrenti!A:G,7,0)</f>
        <v>0</v>
      </c>
      <c r="F102" s="12" t="str">
        <f>VLOOKUP(B102,concorrenti!A$1:G$289,2,0)</f>
        <v>GAMS</v>
      </c>
      <c r="G102" s="47">
        <f>IFERROR(VLOOKUP(B102,'Nora Sciplino'!A$12:P$68,16,0),0)</f>
        <v>0</v>
      </c>
      <c r="H102" s="47">
        <f>IFERROR(VLOOKUP(B102,Castellotti!A$12:P$66,16,0),0)</f>
        <v>0</v>
      </c>
      <c r="I102" s="75">
        <f>IFERROR(VLOOKUP(B102,Solidarietà!A:P,16,0),0)</f>
        <v>0</v>
      </c>
      <c r="J102" s="47">
        <f>IFERROR(VLOOKUP(B102,Gallarate!A:P,16,0),0)</f>
        <v>45.922800000000002</v>
      </c>
      <c r="K102" s="57">
        <f>IFERROR(VLOOKUP(B102,'Giro del Lario'!A:P,16,0),0)</f>
        <v>0</v>
      </c>
      <c r="L102" s="47">
        <f>IFERROR(VLOOKUP(B102,'Campo dei Fiori'!A:P,16,0),0)</f>
        <v>0</v>
      </c>
      <c r="M102" s="47">
        <f>IFERROR(VLOOKUP(B102,'Erba Ghisallo'!A:P,16,0),0)</f>
        <v>0</v>
      </c>
      <c r="N102" s="47">
        <f>IFERROR(VLOOKUP(B102,Ambrosiano!A:Q,16,0),0)</f>
        <v>0</v>
      </c>
      <c r="O102" s="47">
        <f>IFERROR(VLOOKUP(B102,Presolana!A:Q,16,0),0)</f>
        <v>0</v>
      </c>
      <c r="P102" s="4"/>
      <c r="Q102" s="60">
        <f t="shared" si="10"/>
        <v>45.922800000000002</v>
      </c>
      <c r="S102" s="56">
        <f>COUNTIF(G102:O102,"&lt;&gt;0")</f>
        <v>1</v>
      </c>
      <c r="T102" s="57">
        <f>VLOOKUP(S102,Regolamento!G$6:I$14,3,0)</f>
        <v>1</v>
      </c>
      <c r="V102" s="60">
        <f t="shared" ref="V102:V133" si="11">+T102*Q102</f>
        <v>45.922800000000002</v>
      </c>
      <c r="Y102"/>
    </row>
    <row r="103" spans="1:26" x14ac:dyDescent="0.25">
      <c r="A103">
        <v>98</v>
      </c>
      <c r="B103" t="s">
        <v>553</v>
      </c>
      <c r="C103" s="12" t="str">
        <f>IFERROR(VLOOKUP(B103,concorrenti!A:C,3,0)," ")</f>
        <v>C</v>
      </c>
      <c r="D103" s="12">
        <f>VLOOKUP(B103,concorrenti!A:E,5,0)</f>
        <v>0</v>
      </c>
      <c r="E103" s="12">
        <f>VLOOKUP(B103,concorrenti!A:G,7,0)</f>
        <v>0</v>
      </c>
      <c r="F103" s="12" t="str">
        <f>VLOOKUP(B103,concorrenti!A$1:G$289,2,0)</f>
        <v>GAMS</v>
      </c>
      <c r="G103" s="47">
        <f>IFERROR(VLOOKUP(B103,'Nora Sciplino'!A$12:P$68,16,0),0)</f>
        <v>35.8215</v>
      </c>
      <c r="H103" s="47">
        <f>IFERROR(VLOOKUP(B103,Castellotti!A$12:P$66,16,0),0)</f>
        <v>0</v>
      </c>
      <c r="I103" s="75">
        <f>IFERROR(VLOOKUP(B103,Solidarietà!A:P,16,0),0)</f>
        <v>0</v>
      </c>
      <c r="J103" s="104">
        <f>SUM(G103:I103)/3*J$5</f>
        <v>9.4138901999999991</v>
      </c>
      <c r="K103" s="57">
        <f>IFERROR(VLOOKUP(B103,'Giro del Lario'!A:P,16,0),0)</f>
        <v>0</v>
      </c>
      <c r="L103" s="47">
        <f>IFERROR(VLOOKUP(B103,'Campo dei Fiori'!A:P,16,0),0)</f>
        <v>0</v>
      </c>
      <c r="M103" s="47">
        <f>IFERROR(VLOOKUP(B103,'Erba Ghisallo'!A:P,16,0),0)</f>
        <v>0</v>
      </c>
      <c r="N103" s="47">
        <f>IFERROR(VLOOKUP(B103,Ambrosiano!A:Q,16,0),0)</f>
        <v>0</v>
      </c>
      <c r="O103" s="47">
        <f>IFERROR(VLOOKUP(B103,Presolana!A:Q,16,0),0)</f>
        <v>0</v>
      </c>
      <c r="P103" s="4"/>
      <c r="Q103" s="60">
        <f t="shared" si="10"/>
        <v>45.235390199999998</v>
      </c>
      <c r="S103" s="56">
        <f>COUNTIF(G103:O103,"&lt;&gt;0")-1</f>
        <v>1</v>
      </c>
      <c r="T103" s="57">
        <f>VLOOKUP(S103,Regolamento!G$6:I$14,3,0)</f>
        <v>1</v>
      </c>
      <c r="V103" s="60">
        <f t="shared" si="11"/>
        <v>45.235390199999998</v>
      </c>
      <c r="X103" s="10"/>
      <c r="Z103" s="119"/>
    </row>
    <row r="104" spans="1:26" x14ac:dyDescent="0.25">
      <c r="A104">
        <v>99</v>
      </c>
      <c r="B104" s="8" t="s">
        <v>349</v>
      </c>
      <c r="C104" s="12" t="str">
        <f>IFERROR(VLOOKUP(B104,concorrenti!A:C,3,0)," ")</f>
        <v>C</v>
      </c>
      <c r="D104" s="12">
        <f>VLOOKUP(B104,concorrenti!A:E,5,0)</f>
        <v>0</v>
      </c>
      <c r="E104" s="12" t="str">
        <f>VLOOKUP(B104,concorrenti!A:G,7,0)</f>
        <v>MECCANICO</v>
      </c>
      <c r="F104" s="12" t="str">
        <f>VLOOKUP(B104,concorrenti!A$1:G$289,2,0)</f>
        <v>VCC COMO</v>
      </c>
      <c r="G104" s="47">
        <f>IFERROR(VLOOKUP(B104,'Nora Sciplino'!A$12:P$68,16,0),0)</f>
        <v>0</v>
      </c>
      <c r="H104" s="47">
        <f>IFERROR(VLOOKUP(B104,Castellotti!A$12:P$66,16,0),0)</f>
        <v>0</v>
      </c>
      <c r="I104" s="75">
        <f>IFERROR(VLOOKUP(B104,Solidarietà!A:P,16,0),0)</f>
        <v>0</v>
      </c>
      <c r="J104" s="104">
        <v>0</v>
      </c>
      <c r="K104" s="57">
        <f>IFERROR(VLOOKUP(B104,'Giro del Lario'!A:P,16,0),0)</f>
        <v>43.75</v>
      </c>
      <c r="L104" s="47">
        <f>IFERROR(VLOOKUP(B104,'Campo dei Fiori'!A:P,16,0),0)</f>
        <v>0</v>
      </c>
      <c r="M104" s="47">
        <f>IFERROR(VLOOKUP(B104,'Erba Ghisallo'!A:P,16,0),0)</f>
        <v>0</v>
      </c>
      <c r="N104" s="47">
        <f>IFERROR(VLOOKUP(B104,Ambrosiano!A:Q,16,0),0)</f>
        <v>0</v>
      </c>
      <c r="O104" s="47">
        <f>IFERROR(VLOOKUP(B104,Presolana!A:Q,16,0),0)</f>
        <v>0</v>
      </c>
      <c r="Q104" s="60">
        <f t="shared" si="10"/>
        <v>43.75</v>
      </c>
      <c r="S104" s="56">
        <f>COUNTIF(G104:O104,"&lt;&gt;0")</f>
        <v>1</v>
      </c>
      <c r="T104" s="57">
        <f>VLOOKUP(S104,Regolamento!G$6:I$14,3,0)</f>
        <v>1</v>
      </c>
      <c r="V104" s="60">
        <f t="shared" si="11"/>
        <v>43.75</v>
      </c>
      <c r="X104" s="10"/>
      <c r="Z104" s="119"/>
    </row>
    <row r="105" spans="1:26" x14ac:dyDescent="0.25">
      <c r="A105">
        <v>100</v>
      </c>
      <c r="B105" s="8" t="s">
        <v>192</v>
      </c>
      <c r="C105" s="12" t="str">
        <f>IFERROR(VLOOKUP(B105,concorrenti!A:C,3,0)," ")</f>
        <v>C</v>
      </c>
      <c r="D105" s="12">
        <f>VLOOKUP(B105,concorrenti!A:E,5,0)</f>
        <v>0</v>
      </c>
      <c r="E105" s="12">
        <f>VLOOKUP(B105,concorrenti!A:G,7,0)</f>
        <v>0</v>
      </c>
      <c r="F105" s="12" t="str">
        <f>VLOOKUP(B105,concorrenti!A$1:G$289,2,0)</f>
        <v>CASTELLOTTI</v>
      </c>
      <c r="G105" s="47">
        <f>IFERROR(VLOOKUP(B105,'Nora Sciplino'!A$12:P$68,16,0),0)</f>
        <v>0</v>
      </c>
      <c r="H105" s="47">
        <f>IFERROR(VLOOKUP(B105,Castellotti!A$12:P$66,16,0),0)</f>
        <v>34.484999999999992</v>
      </c>
      <c r="I105" s="75">
        <f>IFERROR(VLOOKUP(B105,Solidarietà!A:P,16,0),0)</f>
        <v>0</v>
      </c>
      <c r="J105" s="104">
        <f>SUM(G105:I105)/3*J$5</f>
        <v>9.0626579999999972</v>
      </c>
      <c r="K105" s="57">
        <f>IFERROR(VLOOKUP(B105,'Giro del Lario'!A:P,16,0),0)</f>
        <v>0</v>
      </c>
      <c r="L105" s="47">
        <f>IFERROR(VLOOKUP(B105,'Campo dei Fiori'!A:P,16,0),0)</f>
        <v>0</v>
      </c>
      <c r="M105" s="47">
        <f>IFERROR(VLOOKUP(B105,'Erba Ghisallo'!A:P,16,0),0)</f>
        <v>0</v>
      </c>
      <c r="N105" s="47">
        <f>IFERROR(VLOOKUP(B105,Ambrosiano!A:Q,16,0),0)</f>
        <v>0</v>
      </c>
      <c r="O105" s="47">
        <f>IFERROR(VLOOKUP(B105,Presolana!A:Q,16,0),0)</f>
        <v>0</v>
      </c>
      <c r="Q105" s="60">
        <f t="shared" si="10"/>
        <v>43.547657999999991</v>
      </c>
      <c r="S105" s="56">
        <f>COUNTIF(G105:O105,"&lt;&gt;0")-1</f>
        <v>1</v>
      </c>
      <c r="T105" s="57">
        <f>VLOOKUP(S105,Regolamento!G$6:I$14,3,0)</f>
        <v>1</v>
      </c>
      <c r="V105" s="60">
        <f t="shared" si="11"/>
        <v>43.547657999999991</v>
      </c>
      <c r="X105" s="10"/>
      <c r="Z105" s="119"/>
    </row>
    <row r="106" spans="1:26" x14ac:dyDescent="0.25">
      <c r="A106">
        <v>101</v>
      </c>
      <c r="B106" s="8" t="s">
        <v>352</v>
      </c>
      <c r="C106" s="12" t="str">
        <f>IFERROR(VLOOKUP(B106,concorrenti!A:C,3,0)," ")</f>
        <v>C</v>
      </c>
      <c r="D106" s="12">
        <f>VLOOKUP(B106,concorrenti!A:E,5,0)</f>
        <v>0</v>
      </c>
      <c r="E106" s="12">
        <f>VLOOKUP(B106,concorrenti!A:G,7,0)</f>
        <v>0</v>
      </c>
      <c r="F106" s="12" t="str">
        <f>VLOOKUP(B106,concorrenti!A$1:G$289,2,0)</f>
        <v>CAVEM</v>
      </c>
      <c r="G106" s="47">
        <f>IFERROR(VLOOKUP(B106,'Nora Sciplino'!A$12:P$68,16,0),0)</f>
        <v>0</v>
      </c>
      <c r="H106" s="47">
        <f>IFERROR(VLOOKUP(B106,Castellotti!A$12:P$66,16,0),0)</f>
        <v>0</v>
      </c>
      <c r="I106" s="75">
        <f>IFERROR(VLOOKUP(B106,Solidarietà!A:P,16,0),0)</f>
        <v>0</v>
      </c>
      <c r="J106" s="104">
        <v>0</v>
      </c>
      <c r="K106" s="57">
        <f>IFERROR(VLOOKUP(B106,'Giro del Lario'!A:P,16,0),0)</f>
        <v>41.5625</v>
      </c>
      <c r="L106" s="47">
        <f>IFERROR(VLOOKUP(B106,'Campo dei Fiori'!A:P,16,0),0)</f>
        <v>0</v>
      </c>
      <c r="M106" s="47">
        <f>IFERROR(VLOOKUP(B106,'Erba Ghisallo'!A:P,16,0),0)</f>
        <v>0</v>
      </c>
      <c r="N106" s="47">
        <f>IFERROR(VLOOKUP(B106,Ambrosiano!A:Q,16,0),0)</f>
        <v>0</v>
      </c>
      <c r="O106" s="47">
        <f>IFERROR(VLOOKUP(B106,Presolana!A:Q,16,0),0)</f>
        <v>0</v>
      </c>
      <c r="Q106" s="60">
        <f t="shared" si="10"/>
        <v>41.5625</v>
      </c>
      <c r="S106" s="56">
        <f t="shared" ref="S106:S111" si="12">COUNTIF(G106:O106,"&lt;&gt;0")</f>
        <v>1</v>
      </c>
      <c r="T106" s="57">
        <f>VLOOKUP(S106,Regolamento!G$6:I$14,3,0)</f>
        <v>1</v>
      </c>
      <c r="V106" s="60">
        <f t="shared" si="11"/>
        <v>41.5625</v>
      </c>
      <c r="Y106"/>
    </row>
    <row r="107" spans="1:26" x14ac:dyDescent="0.25">
      <c r="A107">
        <v>102</v>
      </c>
      <c r="B107" s="80" t="s">
        <v>568</v>
      </c>
      <c r="C107" s="12" t="str">
        <f>IFERROR(VLOOKUP(B107,concorrenti!A:C,3,0)," ")</f>
        <v>C</v>
      </c>
      <c r="D107" s="12">
        <f>VLOOKUP(B107,concorrenti!A:E,5,0)</f>
        <v>0</v>
      </c>
      <c r="E107" s="12">
        <f>VLOOKUP(B107,concorrenti!A:G,7,0)</f>
        <v>0</v>
      </c>
      <c r="F107" s="12" t="str">
        <f>VLOOKUP(B107,concorrenti!A$1:G$289,2,0)</f>
        <v>VAMS</v>
      </c>
      <c r="G107" s="47">
        <f>IFERROR(VLOOKUP(B107,'Nora Sciplino'!A$12:P$68,16,0),0)</f>
        <v>0</v>
      </c>
      <c r="H107" s="47">
        <f>IFERROR(VLOOKUP(B107,Castellotti!A$12:P$66,16,0),0)</f>
        <v>0</v>
      </c>
      <c r="I107" s="75">
        <f>IFERROR(VLOOKUP(B107,Solidarietà!A:P,16,0),0)</f>
        <v>0</v>
      </c>
      <c r="J107" s="47">
        <f>IFERROR(VLOOKUP(B107,Gallarate!A:P,16,0),0)</f>
        <v>0</v>
      </c>
      <c r="K107" s="57">
        <f>IFERROR(VLOOKUP(B107,'Giro del Lario'!A:P,16,0),0)</f>
        <v>0</v>
      </c>
      <c r="L107" s="47">
        <f>IFERROR(VLOOKUP(B107,'Campo dei Fiori'!A:P,16,0),0)</f>
        <v>0</v>
      </c>
      <c r="M107" s="47">
        <f>IFERROR(VLOOKUP(B107,'Erba Ghisallo'!A:P,16,0),0)</f>
        <v>0</v>
      </c>
      <c r="N107" s="47">
        <f>IFERROR(VLOOKUP(B107,Ambrosiano!A:Q,16,0),0)</f>
        <v>0</v>
      </c>
      <c r="O107" s="47">
        <f>IFERROR(VLOOKUP(B107,Presolana!A:Q,16,0),0)</f>
        <v>39.524999999999999</v>
      </c>
      <c r="P107" s="4"/>
      <c r="Q107" s="60">
        <f t="shared" si="10"/>
        <v>39.524999999999999</v>
      </c>
      <c r="S107" s="56">
        <f t="shared" si="12"/>
        <v>1</v>
      </c>
      <c r="T107" s="57">
        <f>VLOOKUP(S107,Regolamento!G$6:I$14,3,0)</f>
        <v>1</v>
      </c>
      <c r="V107" s="60">
        <f t="shared" si="11"/>
        <v>39.524999999999999</v>
      </c>
      <c r="Y107"/>
    </row>
    <row r="108" spans="1:26" x14ac:dyDescent="0.25">
      <c r="A108">
        <v>103</v>
      </c>
      <c r="B108" s="8" t="s">
        <v>390</v>
      </c>
      <c r="C108" s="12" t="str">
        <f>IFERROR(VLOOKUP(B108,concorrenti!A:C,3,0)," ")</f>
        <v>C</v>
      </c>
      <c r="D108" s="12">
        <f>VLOOKUP(B108,concorrenti!A:E,5,0)</f>
        <v>0</v>
      </c>
      <c r="E108" s="12">
        <f>VLOOKUP(B108,concorrenti!A:G,7,0)</f>
        <v>0</v>
      </c>
      <c r="F108" s="12" t="str">
        <f>VLOOKUP(B108,concorrenti!A$1:G$289,2,0)</f>
        <v>GAMS</v>
      </c>
      <c r="G108" s="47">
        <f>IFERROR(VLOOKUP(B108,'Nora Sciplino'!A$12:P$68,16,0),0)</f>
        <v>0</v>
      </c>
      <c r="H108" s="47">
        <f>IFERROR(VLOOKUP(B108,Castellotti!A$12:P$66,16,0),0)</f>
        <v>0</v>
      </c>
      <c r="I108" s="75">
        <f>IFERROR(VLOOKUP(B108,Solidarietà!A:P,16,0),0)</f>
        <v>0</v>
      </c>
      <c r="J108" s="47">
        <f>IFERROR(VLOOKUP(B108,Gallarate!A:P,16,0),0)</f>
        <v>39.362400000000001</v>
      </c>
      <c r="K108" s="57">
        <f>IFERROR(VLOOKUP(B108,'Giro del Lario'!A:P,16,0),0)</f>
        <v>0</v>
      </c>
      <c r="L108" s="47">
        <f>IFERROR(VLOOKUP(B108,'Campo dei Fiori'!A:P,16,0),0)</f>
        <v>0</v>
      </c>
      <c r="M108" s="47">
        <f>IFERROR(VLOOKUP(B108,'Erba Ghisallo'!A:P,16,0),0)</f>
        <v>0</v>
      </c>
      <c r="N108" s="47">
        <f>IFERROR(VLOOKUP(B108,Ambrosiano!A:Q,16,0),0)</f>
        <v>0</v>
      </c>
      <c r="O108" s="47">
        <f>IFERROR(VLOOKUP(B108,Presolana!A:Q,16,0),0)</f>
        <v>0</v>
      </c>
      <c r="P108" s="4"/>
      <c r="Q108" s="60">
        <f t="shared" si="10"/>
        <v>39.362400000000001</v>
      </c>
      <c r="S108" s="56">
        <f t="shared" si="12"/>
        <v>1</v>
      </c>
      <c r="T108" s="57">
        <f>VLOOKUP(S108,Regolamento!G$6:I$14,3,0)</f>
        <v>1</v>
      </c>
      <c r="V108" s="60">
        <f t="shared" si="11"/>
        <v>39.362400000000001</v>
      </c>
      <c r="X108" s="10"/>
      <c r="Z108" s="119"/>
    </row>
    <row r="109" spans="1:26" x14ac:dyDescent="0.25">
      <c r="A109">
        <v>104</v>
      </c>
      <c r="B109" s="8" t="s">
        <v>490</v>
      </c>
      <c r="C109" s="12" t="str">
        <f>IFERROR(VLOOKUP(B109,concorrenti!A:C,3,0)," ")</f>
        <v>B</v>
      </c>
      <c r="D109" s="12">
        <f>VLOOKUP(B109,concorrenti!A:E,5,0)</f>
        <v>0</v>
      </c>
      <c r="E109" s="12">
        <f>VLOOKUP(B109,concorrenti!A:G,7,0)</f>
        <v>0</v>
      </c>
      <c r="F109" s="12" t="str">
        <f>VLOOKUP(B109,concorrenti!A$1:G$289,2,0)</f>
        <v>CAVEM</v>
      </c>
      <c r="G109" s="47">
        <f>IFERROR(VLOOKUP(B109,'Nora Sciplino'!A$12:P$68,16,0),0)</f>
        <v>0</v>
      </c>
      <c r="H109" s="47">
        <f>IFERROR(VLOOKUP(B109,Castellotti!A$12:P$66,16,0),0)</f>
        <v>0</v>
      </c>
      <c r="I109" s="75">
        <f>IFERROR(VLOOKUP(B109,Solidarietà!A:P,16,0),0)</f>
        <v>0</v>
      </c>
      <c r="J109" s="47">
        <f>IFERROR(VLOOKUP(B109,Gallarate!A:P,16,0),0)</f>
        <v>0</v>
      </c>
      <c r="K109" s="57">
        <f>IFERROR(VLOOKUP(B109,'Giro del Lario'!A:P,16,0),0)</f>
        <v>0</v>
      </c>
      <c r="L109" s="47">
        <f>IFERROR(VLOOKUP(B109,'Campo dei Fiori'!A:P,16,0),0)</f>
        <v>0</v>
      </c>
      <c r="M109" s="47">
        <f>IFERROR(VLOOKUP(B109,'Erba Ghisallo'!A:P,16,0),0)</f>
        <v>37.631999999999998</v>
      </c>
      <c r="N109" s="47">
        <f>IFERROR(VLOOKUP(B109,Ambrosiano!A:Q,16,0),0)</f>
        <v>0</v>
      </c>
      <c r="O109" s="47">
        <f>IFERROR(VLOOKUP(B109,Presolana!A:Q,16,0),0)</f>
        <v>0</v>
      </c>
      <c r="P109" s="4"/>
      <c r="Q109" s="60">
        <f t="shared" si="10"/>
        <v>37.631999999999998</v>
      </c>
      <c r="S109" s="56">
        <f t="shared" si="12"/>
        <v>1</v>
      </c>
      <c r="T109" s="57">
        <f>VLOOKUP(S109,Regolamento!G$6:I$14,3,0)</f>
        <v>1</v>
      </c>
      <c r="V109" s="60">
        <f t="shared" si="11"/>
        <v>37.631999999999998</v>
      </c>
      <c r="X109" s="10"/>
      <c r="Z109" s="119"/>
    </row>
    <row r="110" spans="1:26" x14ac:dyDescent="0.25">
      <c r="A110">
        <v>105</v>
      </c>
      <c r="B110" s="80" t="s">
        <v>307</v>
      </c>
      <c r="C110" s="12" t="str">
        <f>IFERROR(VLOOKUP(B110,concorrenti!A:C,3,0)," ")</f>
        <v>C</v>
      </c>
      <c r="D110" s="12">
        <f>VLOOKUP(B110,concorrenti!A:E,5,0)</f>
        <v>0</v>
      </c>
      <c r="E110" s="12">
        <f>VLOOKUP(B110,concorrenti!A:G,7,0)</f>
        <v>0</v>
      </c>
      <c r="F110" s="12" t="str">
        <f>VLOOKUP(B110,concorrenti!A$1:G$289,2,0)</f>
        <v>OROBICO</v>
      </c>
      <c r="G110" s="47">
        <f>IFERROR(VLOOKUP(B110,'Nora Sciplino'!A$12:P$68,16,0),0)</f>
        <v>0</v>
      </c>
      <c r="H110" s="47">
        <f>IFERROR(VLOOKUP(B110,Castellotti!A$12:P$66,16,0),0)</f>
        <v>0</v>
      </c>
      <c r="I110" s="75">
        <f>IFERROR(VLOOKUP(B110,Solidarietà!A:P,16,0),0)</f>
        <v>21.878999999999998</v>
      </c>
      <c r="J110" s="47">
        <f>IFERROR(VLOOKUP(B110,Gallarate!A:P,16,0),0)</f>
        <v>10.933999999999999</v>
      </c>
      <c r="K110" s="57">
        <f>IFERROR(VLOOKUP(B110,'Giro del Lario'!A:P,16,0),0)</f>
        <v>0</v>
      </c>
      <c r="L110" s="47">
        <f>IFERROR(VLOOKUP(B110,'Campo dei Fiori'!A:P,16,0),0)</f>
        <v>0</v>
      </c>
      <c r="M110" s="47">
        <f>IFERROR(VLOOKUP(B110,'Erba Ghisallo'!A:P,16,0),0)</f>
        <v>1.1759999999999999</v>
      </c>
      <c r="N110" s="47">
        <f>IFERROR(VLOOKUP(B110,Ambrosiano!A:Q,16,0),0)</f>
        <v>0</v>
      </c>
      <c r="O110" s="47">
        <f>IFERROR(VLOOKUP(B110,Presolana!A:Q,16,0),0)</f>
        <v>0</v>
      </c>
      <c r="P110" s="4"/>
      <c r="Q110" s="60">
        <f t="shared" si="10"/>
        <v>33.988999999999997</v>
      </c>
      <c r="S110" s="56">
        <f t="shared" si="12"/>
        <v>3</v>
      </c>
      <c r="T110" s="57">
        <f>VLOOKUP(S110,Regolamento!G$6:I$14,3,0)</f>
        <v>1.1000000000000001</v>
      </c>
      <c r="V110" s="60">
        <f t="shared" si="11"/>
        <v>37.387900000000002</v>
      </c>
      <c r="Y110"/>
    </row>
    <row r="111" spans="1:26" x14ac:dyDescent="0.25">
      <c r="A111">
        <v>106</v>
      </c>
      <c r="B111" s="8" t="s">
        <v>391</v>
      </c>
      <c r="C111" s="12" t="str">
        <f>IFERROR(VLOOKUP(B111,concorrenti!A:C,3,0)," ")</f>
        <v>C</v>
      </c>
      <c r="D111" s="12">
        <f>VLOOKUP(B111,concorrenti!A:E,5,0)</f>
        <v>0</v>
      </c>
      <c r="E111" s="12" t="str">
        <f>VLOOKUP(B111,concorrenti!A:G,7,0)</f>
        <v>MECCANICO</v>
      </c>
      <c r="F111" s="12" t="str">
        <f>VLOOKUP(B111,concorrenti!A$1:G$289,2,0)</f>
        <v>CMAE</v>
      </c>
      <c r="G111" s="47">
        <f>IFERROR(VLOOKUP(B111,'Nora Sciplino'!A$12:P$68,16,0),0)</f>
        <v>0</v>
      </c>
      <c r="H111" s="47">
        <f>IFERROR(VLOOKUP(B111,Castellotti!A$12:P$66,16,0),0)</f>
        <v>0</v>
      </c>
      <c r="I111" s="75">
        <f>IFERROR(VLOOKUP(B111,Solidarietà!A:P,16,0),0)</f>
        <v>0</v>
      </c>
      <c r="J111" s="47">
        <f>IFERROR(VLOOKUP(B111,Gallarate!A:P,16,0),0)</f>
        <v>37.175600000000003</v>
      </c>
      <c r="K111" s="57">
        <f>IFERROR(VLOOKUP(B111,'Giro del Lario'!A:P,16,0),0)</f>
        <v>0</v>
      </c>
      <c r="L111" s="47">
        <f>IFERROR(VLOOKUP(B111,'Campo dei Fiori'!A:P,16,0),0)</f>
        <v>0</v>
      </c>
      <c r="M111" s="47">
        <f>IFERROR(VLOOKUP(B111,'Erba Ghisallo'!A:P,16,0),0)</f>
        <v>0</v>
      </c>
      <c r="N111" s="47">
        <f>IFERROR(VLOOKUP(B111,Ambrosiano!A:Q,16,0),0)</f>
        <v>0</v>
      </c>
      <c r="O111" s="47">
        <f>IFERROR(VLOOKUP(B111,Presolana!A:Q,16,0),0)</f>
        <v>0</v>
      </c>
      <c r="P111" s="4"/>
      <c r="Q111" s="60">
        <f t="shared" si="10"/>
        <v>37.175600000000003</v>
      </c>
      <c r="S111" s="56">
        <f t="shared" si="12"/>
        <v>1</v>
      </c>
      <c r="T111" s="57">
        <f>VLOOKUP(S111,Regolamento!G$6:I$14,3,0)</f>
        <v>1</v>
      </c>
      <c r="V111" s="60">
        <f t="shared" si="11"/>
        <v>37.175600000000003</v>
      </c>
      <c r="Y111"/>
    </row>
    <row r="112" spans="1:26" x14ac:dyDescent="0.25">
      <c r="A112">
        <v>107</v>
      </c>
      <c r="B112" s="80" t="s">
        <v>313</v>
      </c>
      <c r="C112" s="12" t="str">
        <f>IFERROR(VLOOKUP(B112,concorrenti!A:C,3,0)," ")</f>
        <v>C</v>
      </c>
      <c r="D112" s="12">
        <f>VLOOKUP(B112,concorrenti!A:E,5,0)</f>
        <v>0</v>
      </c>
      <c r="E112" s="12">
        <f>VLOOKUP(B112,concorrenti!A:G,7,0)</f>
        <v>0</v>
      </c>
      <c r="F112" s="12" t="str">
        <f>VLOOKUP(B112,concorrenti!A$1:G$289,2,0)</f>
        <v>OROBICO</v>
      </c>
      <c r="G112" s="47">
        <f>IFERROR(VLOOKUP(B112,'Nora Sciplino'!A$12:P$68,16,0),0)</f>
        <v>0</v>
      </c>
      <c r="H112" s="47">
        <f>IFERROR(VLOOKUP(B112,Castellotti!A$12:P$66,16,0),0)</f>
        <v>0</v>
      </c>
      <c r="I112" s="75">
        <f>IFERROR(VLOOKUP(B112,Solidarietà!A:P,16,0),0)</f>
        <v>29.171999999999997</v>
      </c>
      <c r="J112" s="104">
        <f>SUM(G112:I112)/3*J$5</f>
        <v>7.6664015999999986</v>
      </c>
      <c r="K112" s="57">
        <f>IFERROR(VLOOKUP(B112,'Giro del Lario'!A:P,16,0),0)</f>
        <v>0</v>
      </c>
      <c r="L112" s="47">
        <f>IFERROR(VLOOKUP(B112,'Campo dei Fiori'!A:P,16,0),0)</f>
        <v>0</v>
      </c>
      <c r="M112" s="47">
        <f>IFERROR(VLOOKUP(B112,'Erba Ghisallo'!A:P,16,0),0)</f>
        <v>0</v>
      </c>
      <c r="N112" s="47">
        <f>IFERROR(VLOOKUP(B112,Ambrosiano!A:Q,16,0),0)</f>
        <v>0</v>
      </c>
      <c r="O112" s="47">
        <f>IFERROR(VLOOKUP(B112,Presolana!A:Q,16,0),0)</f>
        <v>0</v>
      </c>
      <c r="P112" s="4"/>
      <c r="Q112" s="60">
        <f t="shared" si="10"/>
        <v>36.838401599999997</v>
      </c>
      <c r="S112" s="56">
        <f>COUNTIF(G112:O112,"&lt;&gt;0")-1</f>
        <v>1</v>
      </c>
      <c r="T112" s="57">
        <f>VLOOKUP(S112,Regolamento!G$6:I$14,3,0)</f>
        <v>1</v>
      </c>
      <c r="V112" s="60">
        <f t="shared" si="11"/>
        <v>36.838401599999997</v>
      </c>
      <c r="X112" s="10"/>
      <c r="Z112" s="119"/>
    </row>
    <row r="113" spans="1:26" x14ac:dyDescent="0.25">
      <c r="A113">
        <v>108</v>
      </c>
      <c r="B113" s="8" t="s">
        <v>460</v>
      </c>
      <c r="C113" s="12" t="str">
        <f>IFERROR(VLOOKUP(B113,concorrenti!A:C,3,0)," ")</f>
        <v>C</v>
      </c>
      <c r="D113" s="12">
        <f>VLOOKUP(B113,concorrenti!A:E,5,0)</f>
        <v>0</v>
      </c>
      <c r="E113" s="12" t="str">
        <f>VLOOKUP(B113,concorrenti!A:G,7,0)</f>
        <v>MECCANICO</v>
      </c>
      <c r="F113" s="12" t="str">
        <f>VLOOKUP(B113,concorrenti!A$1:G$289,2,0)</f>
        <v>VAMS</v>
      </c>
      <c r="G113" s="47">
        <f>IFERROR(VLOOKUP(B113,'Nora Sciplino'!A$12:P$68,16,0),0)</f>
        <v>0</v>
      </c>
      <c r="H113" s="47">
        <f>IFERROR(VLOOKUP(B113,Castellotti!A$12:P$66,16,0),0)</f>
        <v>0</v>
      </c>
      <c r="I113" s="75">
        <f>IFERROR(VLOOKUP(B113,Solidarietà!A:P,16,0),0)</f>
        <v>0</v>
      </c>
      <c r="J113" s="104">
        <v>0</v>
      </c>
      <c r="K113" s="57">
        <f>IFERROR(VLOOKUP(B113,'Giro del Lario'!A:P,16,0),0)</f>
        <v>0</v>
      </c>
      <c r="L113" s="47">
        <f>IFERROR(VLOOKUP(B113,'Campo dei Fiori'!A:P,16,0),0)</f>
        <v>36.5976</v>
      </c>
      <c r="M113" s="47">
        <f>IFERROR(VLOOKUP(B113,'Erba Ghisallo'!A:P,16,0),0)</f>
        <v>0</v>
      </c>
      <c r="N113" s="47">
        <f>IFERROR(VLOOKUP(B113,Ambrosiano!A:Q,16,0),0)</f>
        <v>0</v>
      </c>
      <c r="O113" s="47">
        <f>IFERROR(VLOOKUP(B113,Presolana!A:Q,16,0),0)</f>
        <v>0</v>
      </c>
      <c r="P113" s="4"/>
      <c r="Q113" s="60">
        <f t="shared" ref="Q113:Q144" si="13">SUM(G113:P113)</f>
        <v>36.5976</v>
      </c>
      <c r="S113" s="56">
        <f>COUNTIF(G113:O113,"&lt;&gt;0")</f>
        <v>1</v>
      </c>
      <c r="T113" s="57">
        <f>VLOOKUP(S113,Regolamento!G$6:I$14,3,0)</f>
        <v>1</v>
      </c>
      <c r="V113" s="60">
        <f t="shared" si="11"/>
        <v>36.5976</v>
      </c>
      <c r="Y113"/>
    </row>
    <row r="114" spans="1:26" x14ac:dyDescent="0.25">
      <c r="A114">
        <v>109</v>
      </c>
      <c r="B114" t="s">
        <v>204</v>
      </c>
      <c r="C114" s="12" t="str">
        <f>IFERROR(VLOOKUP(B114,concorrenti!A:C,3,0)," ")</f>
        <v>C</v>
      </c>
      <c r="D114" s="12">
        <f>VLOOKUP(B114,concorrenti!A:E,5,0)</f>
        <v>0</v>
      </c>
      <c r="E114" s="12">
        <f>VLOOKUP(B114,concorrenti!A:G,7,0)</f>
        <v>0</v>
      </c>
      <c r="F114" s="12" t="str">
        <f>VLOOKUP(B114,concorrenti!A$1:G$289,2,0)</f>
        <v>CASTELLOTTI</v>
      </c>
      <c r="G114" s="47">
        <f>IFERROR(VLOOKUP(B114,'Nora Sciplino'!A$12:P$68,16,0),0)</f>
        <v>0</v>
      </c>
      <c r="H114" s="47">
        <f>IFERROR(VLOOKUP(B114,Castellotti!A$12:P$66,16,0),0)</f>
        <v>28.214999999999996</v>
      </c>
      <c r="I114" s="75">
        <f>IFERROR(VLOOKUP(B114,Solidarietà!A:P,16,0),0)</f>
        <v>0</v>
      </c>
      <c r="J114" s="104">
        <f>SUM(G114:I114)/3*J$5</f>
        <v>7.4149019999999997</v>
      </c>
      <c r="K114" s="57">
        <f>IFERROR(VLOOKUP(B114,'Giro del Lario'!A:P,16,0),0)</f>
        <v>0</v>
      </c>
      <c r="L114" s="47">
        <f>IFERROR(VLOOKUP(B114,'Campo dei Fiori'!A:P,16,0),0)</f>
        <v>0</v>
      </c>
      <c r="M114" s="47">
        <f>IFERROR(VLOOKUP(B114,'Erba Ghisallo'!A:P,16,0),0)</f>
        <v>0</v>
      </c>
      <c r="N114" s="47">
        <f>IFERROR(VLOOKUP(B114,Ambrosiano!A:Q,16,0),0)</f>
        <v>0</v>
      </c>
      <c r="O114" s="47">
        <f>IFERROR(VLOOKUP(B114,Presolana!A:Q,16,0),0)</f>
        <v>0</v>
      </c>
      <c r="P114" s="4"/>
      <c r="Q114" s="60">
        <f t="shared" si="13"/>
        <v>35.629901999999994</v>
      </c>
      <c r="S114" s="56">
        <f>COUNTIF(G114:O114,"&lt;&gt;0")-1</f>
        <v>1</v>
      </c>
      <c r="T114" s="57">
        <f>VLOOKUP(S114,Regolamento!G$6:I$14,3,0)</f>
        <v>1</v>
      </c>
      <c r="V114" s="60">
        <f t="shared" si="11"/>
        <v>35.629901999999994</v>
      </c>
      <c r="Y114"/>
    </row>
    <row r="115" spans="1:26" x14ac:dyDescent="0.25">
      <c r="A115">
        <v>110</v>
      </c>
      <c r="B115" s="112" t="s">
        <v>487</v>
      </c>
      <c r="C115" s="76" t="str">
        <f>IFERROR(VLOOKUP(B115,concorrenti!A:C,3,0)," ")</f>
        <v>B</v>
      </c>
      <c r="D115" s="76">
        <f>VLOOKUP(B115,concorrenti!A:E,5,0)</f>
        <v>0</v>
      </c>
      <c r="E115" s="76">
        <f>VLOOKUP(B115,concorrenti!A:G,7,0)</f>
        <v>0</v>
      </c>
      <c r="F115" s="76" t="str">
        <f>VLOOKUP(B115,concorrenti!A$1:G$289,2,0)</f>
        <v>VCC COMO</v>
      </c>
      <c r="G115" s="114">
        <f>IFERROR(VLOOKUP(B115,'Nora Sciplino'!A$12:P$68,16,0),0)</f>
        <v>0</v>
      </c>
      <c r="H115" s="114">
        <f>IFERROR(VLOOKUP(B115,Castellotti!A$12:P$66,16,0),0)</f>
        <v>0</v>
      </c>
      <c r="I115" s="115">
        <f>IFERROR(VLOOKUP(B115,Solidarietà!A:P,16,0),0)</f>
        <v>0</v>
      </c>
      <c r="J115" s="114">
        <f>IFERROR(VLOOKUP(B115,Gallarate!A:P,16,0),0)</f>
        <v>0</v>
      </c>
      <c r="K115" s="125">
        <f>IFERROR(VLOOKUP(B115,'Giro del Lario'!A:P,16,0),0)</f>
        <v>0</v>
      </c>
      <c r="L115" s="114">
        <f>IFERROR(VLOOKUP(B115,'Campo dei Fiori'!A:P,16,0),0)</f>
        <v>0</v>
      </c>
      <c r="M115" s="111">
        <f>IFERROR(VLOOKUP(B115,'Erba Ghisallo'!A:P,16,0),0)</f>
        <v>35.28</v>
      </c>
      <c r="N115" s="114">
        <f>IFERROR(VLOOKUP(B115,Ambrosiano!A:Q,16,0),0)</f>
        <v>0</v>
      </c>
      <c r="O115" s="47">
        <f>IFERROR(VLOOKUP(B115,Presolana!A:Q,16,0),0)</f>
        <v>0</v>
      </c>
      <c r="P115" s="4"/>
      <c r="Q115" s="60">
        <f t="shared" si="13"/>
        <v>35.28</v>
      </c>
      <c r="R115" s="2"/>
      <c r="S115" s="56">
        <f>COUNTIF(G115:O115,"&lt;&gt;0")</f>
        <v>1</v>
      </c>
      <c r="T115" s="57">
        <f>VLOOKUP(S115,Regolamento!G$6:I$14,3,0)</f>
        <v>1</v>
      </c>
      <c r="U115" s="2"/>
      <c r="V115" s="60">
        <f t="shared" si="11"/>
        <v>35.28</v>
      </c>
      <c r="X115" s="10"/>
      <c r="Z115" s="119"/>
    </row>
    <row r="116" spans="1:26" x14ac:dyDescent="0.25">
      <c r="A116">
        <v>111</v>
      </c>
      <c r="B116" s="8" t="s">
        <v>393</v>
      </c>
      <c r="C116" s="12" t="str">
        <f>IFERROR(VLOOKUP(B116,concorrenti!A:C,3,0)," ")</f>
        <v>C</v>
      </c>
      <c r="D116" s="12">
        <f>VLOOKUP(B116,concorrenti!A:E,5,0)</f>
        <v>0</v>
      </c>
      <c r="E116" s="12" t="str">
        <f>VLOOKUP(B116,concorrenti!A:G,7,0)</f>
        <v>MECCANICO</v>
      </c>
      <c r="F116" s="12" t="str">
        <f>VLOOKUP(B116,concorrenti!A$1:G$289,2,0)</f>
        <v>GAMS</v>
      </c>
      <c r="G116" s="47">
        <f>IFERROR(VLOOKUP(B116,'Nora Sciplino'!A$12:P$68,16,0),0)</f>
        <v>0</v>
      </c>
      <c r="H116" s="47">
        <f>IFERROR(VLOOKUP(B116,Castellotti!A$12:P$66,16,0),0)</f>
        <v>0</v>
      </c>
      <c r="I116" s="75">
        <f>IFERROR(VLOOKUP(B116,Solidarietà!A:P,16,0),0)</f>
        <v>0</v>
      </c>
      <c r="J116" s="47">
        <f>IFERROR(VLOOKUP(B116,Gallarate!A:P,16,0),0)</f>
        <v>34.988799999999998</v>
      </c>
      <c r="K116" s="57">
        <f>IFERROR(VLOOKUP(B116,'Giro del Lario'!A:P,16,0),0)</f>
        <v>0</v>
      </c>
      <c r="L116" s="47">
        <f>IFERROR(VLOOKUP(B116,'Campo dei Fiori'!A:P,16,0),0)</f>
        <v>0</v>
      </c>
      <c r="M116" s="47">
        <f>IFERROR(VLOOKUP(B116,'Erba Ghisallo'!A:P,16,0),0)</f>
        <v>0</v>
      </c>
      <c r="N116" s="47">
        <f>IFERROR(VLOOKUP(B116,Ambrosiano!A:Q,16,0),0)</f>
        <v>0</v>
      </c>
      <c r="O116" s="47">
        <f>IFERROR(VLOOKUP(B116,Presolana!A:Q,16,0),0)</f>
        <v>0</v>
      </c>
      <c r="P116" s="4"/>
      <c r="Q116" s="60">
        <f t="shared" si="13"/>
        <v>34.988799999999998</v>
      </c>
      <c r="S116" s="56">
        <f>COUNTIF(G116:O116,"&lt;&gt;0")</f>
        <v>1</v>
      </c>
      <c r="T116" s="57">
        <f>VLOOKUP(S116,Regolamento!G$6:I$14,3,0)</f>
        <v>1</v>
      </c>
      <c r="V116" s="60">
        <f t="shared" si="11"/>
        <v>34.988799999999998</v>
      </c>
      <c r="X116" s="10"/>
      <c r="Z116" s="119"/>
    </row>
    <row r="117" spans="1:26" x14ac:dyDescent="0.25">
      <c r="A117">
        <v>112</v>
      </c>
      <c r="B117" s="8" t="s">
        <v>24</v>
      </c>
      <c r="C117" s="12" t="str">
        <f>IFERROR(VLOOKUP(B117,concorrenti!A:C,3,0)," ")</f>
        <v>C</v>
      </c>
      <c r="D117" s="12">
        <f>VLOOKUP(B117,concorrenti!A:E,5,0)</f>
        <v>0</v>
      </c>
      <c r="E117" s="12">
        <f>VLOOKUP(B117,concorrenti!A:G,7,0)</f>
        <v>0</v>
      </c>
      <c r="F117" s="12" t="str">
        <f>VLOOKUP(B117,concorrenti!A$1:G$289,2,0)</f>
        <v>VAMS</v>
      </c>
      <c r="G117" s="47">
        <f>IFERROR(VLOOKUP(B117,'Nora Sciplino'!A$12:P$68,16,0),0)</f>
        <v>27.555</v>
      </c>
      <c r="H117" s="47">
        <f>IFERROR(VLOOKUP(B117,Castellotti!A$12:P$66,16,0),0)</f>
        <v>0</v>
      </c>
      <c r="I117" s="75">
        <f>IFERROR(VLOOKUP(B117,Solidarietà!A:P,16,0),0)</f>
        <v>0</v>
      </c>
      <c r="J117" s="104">
        <f>SUM(G117:I117)/3*J$5</f>
        <v>7.2414540000000001</v>
      </c>
      <c r="K117" s="57">
        <f>IFERROR(VLOOKUP(B117,'Giro del Lario'!A:P,16,0),0)</f>
        <v>0</v>
      </c>
      <c r="L117" s="47">
        <f>IFERROR(VLOOKUP(B117,'Campo dei Fiori'!A:P,16,0),0)</f>
        <v>0</v>
      </c>
      <c r="M117" s="47">
        <f>IFERROR(VLOOKUP(B117,'Erba Ghisallo'!A:P,16,0),0)</f>
        <v>0</v>
      </c>
      <c r="N117" s="47">
        <f>IFERROR(VLOOKUP(B117,Ambrosiano!A:Q,16,0),0)</f>
        <v>0</v>
      </c>
      <c r="O117" s="47">
        <f>IFERROR(VLOOKUP(B117,Presolana!A:Q,16,0),0)</f>
        <v>0</v>
      </c>
      <c r="P117" s="4"/>
      <c r="Q117" s="60">
        <f t="shared" si="13"/>
        <v>34.796453999999997</v>
      </c>
      <c r="S117" s="56">
        <f>COUNTIF(G117:O117,"&lt;&gt;0")-1</f>
        <v>1</v>
      </c>
      <c r="T117" s="57">
        <f>VLOOKUP(S117,Regolamento!G$6:I$14,3,0)</f>
        <v>1</v>
      </c>
      <c r="V117" s="60">
        <f t="shared" si="11"/>
        <v>34.796453999999997</v>
      </c>
      <c r="Y117"/>
    </row>
    <row r="118" spans="1:26" x14ac:dyDescent="0.25">
      <c r="A118">
        <v>113</v>
      </c>
      <c r="B118" s="8" t="s">
        <v>310</v>
      </c>
      <c r="C118" s="12" t="str">
        <f>IFERROR(VLOOKUP(B118,concorrenti!A:C,3,0)," ")</f>
        <v>C</v>
      </c>
      <c r="D118" s="12">
        <f>VLOOKUP(B118,concorrenti!A:E,5,0)</f>
        <v>0</v>
      </c>
      <c r="E118" s="12">
        <f>VLOOKUP(B118,concorrenti!A:G,7,0)</f>
        <v>0</v>
      </c>
      <c r="F118" s="12" t="str">
        <f>VLOOKUP(B118,concorrenti!A$1:G$289,2,0)</f>
        <v>VALTELLINA</v>
      </c>
      <c r="G118" s="47">
        <f>IFERROR(VLOOKUP(B118,'Nora Sciplino'!A$12:P$68,16,0),0)</f>
        <v>0</v>
      </c>
      <c r="H118" s="47">
        <f>IFERROR(VLOOKUP(B118,Castellotti!A$12:P$66,16,0),0)</f>
        <v>0</v>
      </c>
      <c r="I118" s="75">
        <f>IFERROR(VLOOKUP(B118,Solidarietà!A:P,16,0),0)</f>
        <v>26.740999999999996</v>
      </c>
      <c r="J118" s="104">
        <f>SUM(G118:I118)/3*J$5</f>
        <v>7.0275347999999997</v>
      </c>
      <c r="K118" s="57">
        <f>IFERROR(VLOOKUP(B118,'Giro del Lario'!A:P,16,0),0)</f>
        <v>0</v>
      </c>
      <c r="L118" s="47">
        <f>IFERROR(VLOOKUP(B118,'Campo dei Fiori'!A:P,16,0),0)</f>
        <v>0</v>
      </c>
      <c r="M118" s="47">
        <f>IFERROR(VLOOKUP(B118,'Erba Ghisallo'!A:P,16,0),0)</f>
        <v>0</v>
      </c>
      <c r="N118" s="47">
        <f>IFERROR(VLOOKUP(B118,Ambrosiano!A:Q,16,0),0)</f>
        <v>0</v>
      </c>
      <c r="O118" s="47">
        <f>IFERROR(VLOOKUP(B118,Presolana!A:Q,16,0),0)</f>
        <v>0</v>
      </c>
      <c r="P118" s="4"/>
      <c r="Q118" s="60">
        <f t="shared" si="13"/>
        <v>33.768534799999998</v>
      </c>
      <c r="S118" s="56">
        <f>COUNTIF(G118:O118,"&lt;&gt;0")-1</f>
        <v>1</v>
      </c>
      <c r="T118" s="57">
        <f>VLOOKUP(S118,Regolamento!G$6:I$14,3,0)</f>
        <v>1</v>
      </c>
      <c r="V118" s="60">
        <f t="shared" si="11"/>
        <v>33.768534799999998</v>
      </c>
      <c r="Y118"/>
    </row>
    <row r="119" spans="1:26" x14ac:dyDescent="0.25">
      <c r="A119">
        <v>114</v>
      </c>
      <c r="B119" t="s">
        <v>207</v>
      </c>
      <c r="C119" s="12" t="str">
        <f>IFERROR(VLOOKUP(B119,concorrenti!A:C,3,0)," ")</f>
        <v>C</v>
      </c>
      <c r="D119" s="12">
        <f>VLOOKUP(B119,concorrenti!A:E,5,0)</f>
        <v>0</v>
      </c>
      <c r="E119" s="12">
        <f>VLOOKUP(B119,concorrenti!A:G,7,0)</f>
        <v>0</v>
      </c>
      <c r="F119" s="12" t="str">
        <f>VLOOKUP(B119,concorrenti!A$1:G$289,2,0)</f>
        <v>CASTELLOTTI</v>
      </c>
      <c r="G119" s="47">
        <f>IFERROR(VLOOKUP(B119,'Nora Sciplino'!A$12:P$68,16,0),0)</f>
        <v>0</v>
      </c>
      <c r="H119" s="47">
        <f>IFERROR(VLOOKUP(B119,Castellotti!A$12:P$66,16,0),0)</f>
        <v>25.08</v>
      </c>
      <c r="I119" s="75">
        <f>IFERROR(VLOOKUP(B119,Solidarietà!A:P,16,0),0)</f>
        <v>0</v>
      </c>
      <c r="J119" s="104">
        <f>SUM(G119:I119)/3*J$5</f>
        <v>6.5910239999999991</v>
      </c>
      <c r="K119" s="57">
        <f>IFERROR(VLOOKUP(B119,'Giro del Lario'!A:P,16,0),0)</f>
        <v>0</v>
      </c>
      <c r="L119" s="47">
        <f>IFERROR(VLOOKUP(B119,'Campo dei Fiori'!A:P,16,0),0)</f>
        <v>0</v>
      </c>
      <c r="M119" s="47">
        <f>IFERROR(VLOOKUP(B119,'Erba Ghisallo'!A:P,16,0),0)</f>
        <v>0</v>
      </c>
      <c r="N119" s="47">
        <f>IFERROR(VLOOKUP(B119,Ambrosiano!A:Q,16,0),0)</f>
        <v>0</v>
      </c>
      <c r="O119" s="47">
        <f>IFERROR(VLOOKUP(B119,Presolana!A:Q,16,0),0)</f>
        <v>0</v>
      </c>
      <c r="Q119" s="60">
        <f t="shared" si="13"/>
        <v>31.671023999999996</v>
      </c>
      <c r="S119" s="56">
        <f>COUNTIF(G119:O119,"&lt;&gt;0")-1</f>
        <v>1</v>
      </c>
      <c r="T119" s="57">
        <f>VLOOKUP(S119,Regolamento!G$6:I$14,3,0)</f>
        <v>1</v>
      </c>
      <c r="V119" s="60">
        <f t="shared" si="11"/>
        <v>31.671023999999996</v>
      </c>
      <c r="Y119"/>
    </row>
    <row r="120" spans="1:26" x14ac:dyDescent="0.25">
      <c r="A120">
        <v>115</v>
      </c>
      <c r="B120" s="80" t="s">
        <v>306</v>
      </c>
      <c r="C120" s="12" t="str">
        <f>IFERROR(VLOOKUP(B120,concorrenti!A:C,3,0)," ")</f>
        <v>C</v>
      </c>
      <c r="D120" s="12">
        <f>VLOOKUP(B120,concorrenti!A:E,5,0)</f>
        <v>0</v>
      </c>
      <c r="E120" s="12">
        <f>VLOOKUP(B120,concorrenti!A:G,7,0)</f>
        <v>0</v>
      </c>
      <c r="F120" s="12" t="str">
        <f>VLOOKUP(B120,concorrenti!A$1:G$289,2,0)</f>
        <v>OROBICO</v>
      </c>
      <c r="G120" s="47">
        <f>IFERROR(VLOOKUP(B120,'Nora Sciplino'!A$12:P$68,16,0),0)</f>
        <v>0</v>
      </c>
      <c r="H120" s="47">
        <f>IFERROR(VLOOKUP(B120,Castellotti!A$12:P$66,16,0),0)</f>
        <v>0</v>
      </c>
      <c r="I120" s="75">
        <f>IFERROR(VLOOKUP(B120,Solidarietà!A:P,16,0),0)</f>
        <v>24.31</v>
      </c>
      <c r="J120" s="104">
        <f>SUM(G120:I120)/3*J$5</f>
        <v>6.388668</v>
      </c>
      <c r="K120" s="57">
        <f>IFERROR(VLOOKUP(B120,'Giro del Lario'!A:P,16,0),0)</f>
        <v>0</v>
      </c>
      <c r="L120" s="47">
        <f>IFERROR(VLOOKUP(B120,'Campo dei Fiori'!A:P,16,0),0)</f>
        <v>0</v>
      </c>
      <c r="M120" s="47">
        <f>IFERROR(VLOOKUP(B120,'Erba Ghisallo'!A:P,16,0),0)</f>
        <v>0</v>
      </c>
      <c r="N120" s="47">
        <f>IFERROR(VLOOKUP(B120,Ambrosiano!A:Q,16,0),0)</f>
        <v>0</v>
      </c>
      <c r="O120" s="47">
        <f>IFERROR(VLOOKUP(B120,Presolana!A:Q,16,0),0)</f>
        <v>0</v>
      </c>
      <c r="P120" s="4"/>
      <c r="Q120" s="60">
        <f t="shared" si="13"/>
        <v>30.698667999999998</v>
      </c>
      <c r="S120" s="56">
        <f>COUNTIF(G120:O120,"&lt;&gt;0")-1</f>
        <v>1</v>
      </c>
      <c r="T120" s="57">
        <f>VLOOKUP(S120,Regolamento!G$6:I$14,3,0)</f>
        <v>1</v>
      </c>
      <c r="V120" s="60">
        <f t="shared" si="11"/>
        <v>30.698667999999998</v>
      </c>
      <c r="Y120"/>
    </row>
    <row r="121" spans="1:26" x14ac:dyDescent="0.25">
      <c r="A121">
        <v>116</v>
      </c>
      <c r="B121" s="8" t="s">
        <v>385</v>
      </c>
      <c r="C121" s="12" t="str">
        <f>IFERROR(VLOOKUP(B121,concorrenti!A:C,3,0)," ")</f>
        <v>C</v>
      </c>
      <c r="D121" s="12">
        <f>VLOOKUP(B121,concorrenti!A:E,5,0)</f>
        <v>0</v>
      </c>
      <c r="E121" s="12" t="str">
        <f>VLOOKUP(B121,concorrenti!A:G,7,0)</f>
        <v>MECCANICO</v>
      </c>
      <c r="F121" s="12" t="str">
        <f>VLOOKUP(B121,concorrenti!A$1:G$289,2,0)</f>
        <v>GAMS</v>
      </c>
      <c r="G121" s="47">
        <f>IFERROR(VLOOKUP(B121,'Nora Sciplino'!A$12:P$68,16,0),0)</f>
        <v>0</v>
      </c>
      <c r="H121" s="47">
        <f>IFERROR(VLOOKUP(B121,Castellotti!A$12:P$66,16,0),0)</f>
        <v>0</v>
      </c>
      <c r="I121" s="75">
        <f>IFERROR(VLOOKUP(B121,Solidarietà!A:P,16,0),0)</f>
        <v>0</v>
      </c>
      <c r="J121" s="47">
        <f>IFERROR(VLOOKUP(B121,Gallarate!A:P,16,0),0)</f>
        <v>30.615199999999998</v>
      </c>
      <c r="K121" s="57">
        <f>IFERROR(VLOOKUP(B121,'Giro del Lario'!A:P,16,0),0)</f>
        <v>0</v>
      </c>
      <c r="L121" s="47">
        <f>IFERROR(VLOOKUP(B121,'Campo dei Fiori'!A:P,16,0),0)</f>
        <v>0</v>
      </c>
      <c r="M121" s="47">
        <f>IFERROR(VLOOKUP(B121,'Erba Ghisallo'!A:P,16,0),0)</f>
        <v>0</v>
      </c>
      <c r="N121" s="47">
        <f>IFERROR(VLOOKUP(B121,Ambrosiano!A:Q,16,0),0)</f>
        <v>0</v>
      </c>
      <c r="O121" s="47">
        <f>IFERROR(VLOOKUP(B121,Presolana!A:Q,16,0),0)</f>
        <v>0</v>
      </c>
      <c r="P121" s="4"/>
      <c r="Q121" s="60">
        <f t="shared" si="13"/>
        <v>30.615199999999998</v>
      </c>
      <c r="S121" s="56">
        <f>COUNTIF(G121:O121,"&lt;&gt;0")</f>
        <v>1</v>
      </c>
      <c r="T121" s="57">
        <f>VLOOKUP(S121,Regolamento!G$6:I$14,3,0)</f>
        <v>1</v>
      </c>
      <c r="V121" s="60">
        <f t="shared" si="11"/>
        <v>30.615199999999998</v>
      </c>
      <c r="X121" s="10"/>
      <c r="Z121" s="119"/>
    </row>
    <row r="122" spans="1:26" x14ac:dyDescent="0.25">
      <c r="A122">
        <v>117</v>
      </c>
      <c r="B122" s="9" t="s">
        <v>564</v>
      </c>
      <c r="C122" s="12" t="str">
        <f>IFERROR(VLOOKUP(B122,concorrenti!A:C,3,0)," ")</f>
        <v>C</v>
      </c>
      <c r="D122" s="12">
        <f>VLOOKUP(B122,concorrenti!A:E,5,0)</f>
        <v>0</v>
      </c>
      <c r="E122" s="12">
        <f>VLOOKUP(B122,concorrenti!A:G,7,0)</f>
        <v>0</v>
      </c>
      <c r="F122" s="12" t="str">
        <f>VLOOKUP(B122,concorrenti!A$1:G$289,2,0)</f>
        <v>VALTELLINA</v>
      </c>
      <c r="G122" s="47">
        <f>IFERROR(VLOOKUP(A122,'Nora Sciplino'!A$12:P$58,16,0),0)</f>
        <v>0</v>
      </c>
      <c r="H122" s="47">
        <f>IFERROR(VLOOKUP(A122,Castellotti!A$12:P$66,16,0),0)</f>
        <v>0</v>
      </c>
      <c r="I122" s="75">
        <f>IFERROR(VLOOKUP(A122,Solidarietà!A:P,16,0),0)</f>
        <v>0</v>
      </c>
      <c r="J122" s="47">
        <f>IFERROR(VLOOKUP(A122,Gallarate!A:P,16,0),0)</f>
        <v>0</v>
      </c>
      <c r="K122" s="57">
        <f>IFERROR(VLOOKUP(A122,'Giro del Lario'!A:P,16,0),0)</f>
        <v>0</v>
      </c>
      <c r="L122" s="47">
        <f>IFERROR(VLOOKUP(A122,'Campo dei Fiori'!A:P,16,0),0)</f>
        <v>0</v>
      </c>
      <c r="M122" s="47">
        <f>IFERROR(VLOOKUP(A122,'Erba Ghisallo'!A:P,16,0),0)</f>
        <v>0</v>
      </c>
      <c r="N122" s="47">
        <f>IFERROR(VLOOKUP(B122,Ambrosiano!A:Q,16,0),0)</f>
        <v>29.537200000000006</v>
      </c>
      <c r="O122" s="47">
        <f>IFERROR(VLOOKUP(B122,Presolana!A:Q,16,0),0)</f>
        <v>0</v>
      </c>
      <c r="P122" s="4"/>
      <c r="Q122" s="60">
        <f t="shared" si="13"/>
        <v>29.537200000000006</v>
      </c>
      <c r="S122" s="56">
        <f>COUNTIF(G122:O122,"&lt;&gt;0")</f>
        <v>1</v>
      </c>
      <c r="T122" s="57">
        <f>VLOOKUP(S122,Regolamento!G$6:I$14,3,0)</f>
        <v>1</v>
      </c>
      <c r="V122" s="60">
        <f t="shared" si="11"/>
        <v>29.537200000000006</v>
      </c>
      <c r="Y122"/>
    </row>
    <row r="123" spans="1:26" x14ac:dyDescent="0.25">
      <c r="A123">
        <v>118</v>
      </c>
      <c r="B123" s="80" t="s">
        <v>569</v>
      </c>
      <c r="C123" s="12" t="str">
        <f>IFERROR(VLOOKUP(B123,concorrenti!A:C,3,0)," ")</f>
        <v>C</v>
      </c>
      <c r="D123" s="12">
        <f>VLOOKUP(B123,concorrenti!A:E,5,0)</f>
        <v>0</v>
      </c>
      <c r="E123" s="12">
        <f>VLOOKUP(B123,concorrenti!A:G,7,0)</f>
        <v>0</v>
      </c>
      <c r="F123" s="12" t="str">
        <f>VLOOKUP(B123,concorrenti!A$1:G$289,2,0)</f>
        <v>OROBICO</v>
      </c>
      <c r="G123" s="47">
        <f>IFERROR(VLOOKUP(B123,'Nora Sciplino'!A$12:P$68,16,0),0)</f>
        <v>0</v>
      </c>
      <c r="H123" s="47">
        <f>IFERROR(VLOOKUP(B123,Castellotti!A$12:P$66,16,0),0)</f>
        <v>0</v>
      </c>
      <c r="I123" s="75">
        <f>IFERROR(VLOOKUP(B123,Solidarietà!A:P,16,0),0)</f>
        <v>0</v>
      </c>
      <c r="J123" s="47">
        <f>IFERROR(VLOOKUP(B123,Gallarate!A:P,16,0),0)</f>
        <v>0</v>
      </c>
      <c r="K123" s="57">
        <f>IFERROR(VLOOKUP(B123,'Giro del Lario'!A:P,16,0),0)</f>
        <v>0</v>
      </c>
      <c r="L123" s="47">
        <f>IFERROR(VLOOKUP(B123,'Campo dei Fiori'!A:P,16,0),0)</f>
        <v>0</v>
      </c>
      <c r="M123" s="47">
        <f>IFERROR(VLOOKUP(B123,'Erba Ghisallo'!A:P,16,0),0)</f>
        <v>0</v>
      </c>
      <c r="N123" s="47">
        <f>IFERROR(VLOOKUP(B123,Ambrosiano!A:Q,16,0),0)</f>
        <v>0</v>
      </c>
      <c r="O123" s="47">
        <f>IFERROR(VLOOKUP(B123,Presolana!A:Q,16,0),0)</f>
        <v>28.984999999999999</v>
      </c>
      <c r="P123" s="4"/>
      <c r="Q123" s="60">
        <f t="shared" si="13"/>
        <v>28.984999999999999</v>
      </c>
      <c r="S123" s="56">
        <f>COUNTIF(G123:O123,"&lt;&gt;0")</f>
        <v>1</v>
      </c>
      <c r="T123" s="57">
        <f>VLOOKUP(S123,Regolamento!G$6:I$14,3,0)</f>
        <v>1</v>
      </c>
      <c r="V123" s="60">
        <f t="shared" si="11"/>
        <v>28.984999999999999</v>
      </c>
      <c r="Y123"/>
    </row>
    <row r="124" spans="1:26" x14ac:dyDescent="0.25">
      <c r="A124">
        <v>119</v>
      </c>
      <c r="B124" s="8" t="s">
        <v>83</v>
      </c>
      <c r="C124" s="12" t="str">
        <f>IFERROR(VLOOKUP(B124,concorrenti!A:C,3,0)," ")</f>
        <v>C</v>
      </c>
      <c r="D124" s="12">
        <f>VLOOKUP(B124,concorrenti!A:E,5,0)</f>
        <v>0</v>
      </c>
      <c r="E124" s="12">
        <f>VLOOKUP(B124,concorrenti!A:G,7,0)</f>
        <v>0</v>
      </c>
      <c r="F124" s="12" t="str">
        <f>VLOOKUP(B124,concorrenti!A$1:G$289,2,0)</f>
        <v>CASTELLOTTI</v>
      </c>
      <c r="G124" s="47">
        <f>IFERROR(VLOOKUP(B124,'Nora Sciplino'!A$12:P$68,16,0),0)</f>
        <v>11.021999999999998</v>
      </c>
      <c r="H124" s="47">
        <f>IFERROR(VLOOKUP(B124,Castellotti!A$12:P$66,16,0),0)</f>
        <v>1.5674999999999999</v>
      </c>
      <c r="I124" s="75">
        <f>IFERROR(VLOOKUP(B124,Solidarietà!A:P,16,0),0)</f>
        <v>0</v>
      </c>
      <c r="J124" s="104">
        <f>SUM(G124:I124)/3*J$5</f>
        <v>3.3085205999999996</v>
      </c>
      <c r="K124" s="57">
        <f>IFERROR(VLOOKUP(B124,'Giro del Lario'!A:P,16,0),0)</f>
        <v>0</v>
      </c>
      <c r="L124" s="47">
        <f>IFERROR(VLOOKUP(B124,'Campo dei Fiori'!A:P,16,0),0)</f>
        <v>0</v>
      </c>
      <c r="M124" s="47">
        <f>IFERROR(VLOOKUP(B124,'Erba Ghisallo'!A:P,16,0),0)</f>
        <v>1.1759999999999999</v>
      </c>
      <c r="N124" s="47">
        <f>IFERROR(VLOOKUP(B124,Ambrosiano!A:Q,16,0),0)</f>
        <v>0</v>
      </c>
      <c r="O124" s="47">
        <f>IFERROR(VLOOKUP(B124,Presolana!A:Q,16,0),0)</f>
        <v>7.9049999999999994</v>
      </c>
      <c r="P124" s="4"/>
      <c r="Q124" s="60">
        <f t="shared" si="13"/>
        <v>24.979020599999998</v>
      </c>
      <c r="S124" s="56">
        <f>COUNTIF(G124:O124,"&lt;&gt;0")-1</f>
        <v>4</v>
      </c>
      <c r="T124" s="57">
        <f>VLOOKUP(S124,Regolamento!G$6:I$14,3,0)</f>
        <v>1.1499999999999999</v>
      </c>
      <c r="V124" s="60">
        <f t="shared" si="11"/>
        <v>28.725873689999997</v>
      </c>
      <c r="X124" s="10"/>
      <c r="Z124" s="119"/>
    </row>
    <row r="125" spans="1:26" x14ac:dyDescent="0.25">
      <c r="A125">
        <v>120</v>
      </c>
      <c r="B125" s="8" t="s">
        <v>395</v>
      </c>
      <c r="C125" s="12" t="str">
        <f>IFERROR(VLOOKUP(B125,concorrenti!A:C,3,0)," ")</f>
        <v>C</v>
      </c>
      <c r="D125" s="12">
        <f>VLOOKUP(B125,concorrenti!A:E,5,0)</f>
        <v>0</v>
      </c>
      <c r="E125" s="12" t="str">
        <f>VLOOKUP(B125,concorrenti!A:G,7,0)</f>
        <v>MECCANICO</v>
      </c>
      <c r="F125" s="12" t="str">
        <f>VLOOKUP(B125,concorrenti!A$1:G$289,2,0)</f>
        <v>GAMS</v>
      </c>
      <c r="G125" s="47">
        <f>IFERROR(VLOOKUP(B125,'Nora Sciplino'!A$12:P$68,16,0),0)</f>
        <v>0</v>
      </c>
      <c r="H125" s="47">
        <f>IFERROR(VLOOKUP(B125,Castellotti!A$12:P$66,16,0),0)</f>
        <v>0</v>
      </c>
      <c r="I125" s="75">
        <f>IFERROR(VLOOKUP(B125,Solidarietà!A:P,16,0),0)</f>
        <v>0</v>
      </c>
      <c r="J125" s="47">
        <f>IFERROR(VLOOKUP(B125,Gallarate!A:P,16,0),0)</f>
        <v>26.241599999999998</v>
      </c>
      <c r="K125" s="57">
        <f>IFERROR(VLOOKUP(B125,'Giro del Lario'!A:P,16,0),0)</f>
        <v>0</v>
      </c>
      <c r="L125" s="47">
        <f>IFERROR(VLOOKUP(B125,'Campo dei Fiori'!A:P,16,0),0)</f>
        <v>0</v>
      </c>
      <c r="M125" s="47">
        <f>IFERROR(VLOOKUP(B125,'Erba Ghisallo'!A:P,16,0),0)</f>
        <v>0</v>
      </c>
      <c r="N125" s="47">
        <f>IFERROR(VLOOKUP(B125,Ambrosiano!A:Q,16,0),0)</f>
        <v>0</v>
      </c>
      <c r="O125" s="47">
        <f>IFERROR(VLOOKUP(B125,Presolana!A:Q,16,0),0)</f>
        <v>0</v>
      </c>
      <c r="P125" s="4"/>
      <c r="Q125" s="60">
        <f t="shared" si="13"/>
        <v>26.241599999999998</v>
      </c>
      <c r="S125" s="56">
        <f>COUNTIF(G125:O125,"&lt;&gt;0")</f>
        <v>1</v>
      </c>
      <c r="T125" s="57">
        <f>VLOOKUP(S125,Regolamento!G$6:I$14,3,0)</f>
        <v>1</v>
      </c>
      <c r="V125" s="60">
        <f t="shared" si="11"/>
        <v>26.241599999999998</v>
      </c>
      <c r="Y125"/>
    </row>
    <row r="126" spans="1:26" x14ac:dyDescent="0.25">
      <c r="A126">
        <v>121</v>
      </c>
      <c r="B126" s="8" t="s">
        <v>491</v>
      </c>
      <c r="C126" s="12" t="str">
        <f>IFERROR(VLOOKUP(B126,concorrenti!A:C,3,0)," ")</f>
        <v>C</v>
      </c>
      <c r="D126" s="12">
        <f>VLOOKUP(B126,concorrenti!A:E,5,0)</f>
        <v>0</v>
      </c>
      <c r="E126" s="12">
        <f>VLOOKUP(B126,concorrenti!A:G,7,0)</f>
        <v>0</v>
      </c>
      <c r="F126" s="12" t="str">
        <f>VLOOKUP(B126,concorrenti!A$1:G$289,2,0)</f>
        <v>VCC COMO</v>
      </c>
      <c r="G126" s="47">
        <f>IFERROR(VLOOKUP(B126,'Nora Sciplino'!A$12:P$68,16,0),0)</f>
        <v>0</v>
      </c>
      <c r="H126" s="47">
        <f>IFERROR(VLOOKUP(B126,Castellotti!A$12:P$66,16,0),0)</f>
        <v>0</v>
      </c>
      <c r="I126" s="75">
        <f>IFERROR(VLOOKUP(B126,Solidarietà!A:P,16,0),0)</f>
        <v>0</v>
      </c>
      <c r="J126" s="47">
        <f>IFERROR(VLOOKUP(B126,Gallarate!A:P,16,0),0)</f>
        <v>0</v>
      </c>
      <c r="K126" s="57">
        <f>IFERROR(VLOOKUP(B126,'Giro del Lario'!A:P,16,0),0)</f>
        <v>0</v>
      </c>
      <c r="L126" s="47">
        <f>IFERROR(VLOOKUP(B126,'Campo dei Fiori'!A:P,16,0),0)</f>
        <v>0</v>
      </c>
      <c r="M126" s="47">
        <f>IFERROR(VLOOKUP(B126,'Erba Ghisallo'!A:P,16,0),0)</f>
        <v>25.872</v>
      </c>
      <c r="N126" s="47">
        <f>IFERROR(VLOOKUP(B126,Ambrosiano!A:Q,16,0),0)</f>
        <v>0</v>
      </c>
      <c r="O126" s="47">
        <f>IFERROR(VLOOKUP(B126,Presolana!A:Q,16,0),0)</f>
        <v>0</v>
      </c>
      <c r="P126" s="4"/>
      <c r="Q126" s="60">
        <f t="shared" si="13"/>
        <v>25.872</v>
      </c>
      <c r="S126" s="56">
        <f>COUNTIF(G126:O126,"&lt;&gt;0")</f>
        <v>1</v>
      </c>
      <c r="T126" s="57">
        <f>VLOOKUP(S126,Regolamento!G$6:I$14,3,0)</f>
        <v>1</v>
      </c>
      <c r="V126" s="60">
        <f t="shared" si="11"/>
        <v>25.872</v>
      </c>
      <c r="Y126"/>
    </row>
    <row r="127" spans="1:26" x14ac:dyDescent="0.25">
      <c r="A127">
        <v>122</v>
      </c>
      <c r="B127" s="112" t="s">
        <v>308</v>
      </c>
      <c r="C127" s="76" t="str">
        <f>IFERROR(VLOOKUP(B127,concorrenti!A:C,3,0)," ")</f>
        <v>C</v>
      </c>
      <c r="D127" s="76">
        <f>VLOOKUP(B127,concorrenti!A:E,5,0)</f>
        <v>0</v>
      </c>
      <c r="E127" s="76">
        <f>VLOOKUP(B127,concorrenti!A:G,7,0)</f>
        <v>0</v>
      </c>
      <c r="F127" s="76" t="str">
        <f>VLOOKUP(B127,concorrenti!A$1:G$289,2,0)</f>
        <v>OROBICO</v>
      </c>
      <c r="G127" s="114">
        <f>IFERROR(VLOOKUP(B127,'Nora Sciplino'!A$12:P$68,16,0),0)</f>
        <v>0</v>
      </c>
      <c r="H127" s="114">
        <f>IFERROR(VLOOKUP(B127,Castellotti!A$12:P$66,16,0),0)</f>
        <v>0</v>
      </c>
      <c r="I127" s="116">
        <f>IFERROR(VLOOKUP(B127,Solidarietà!A:P,16,0),0)</f>
        <v>19.448</v>
      </c>
      <c r="J127" s="104">
        <f>SUM(G127:I127)/3*J$5</f>
        <v>5.1109343999999997</v>
      </c>
      <c r="K127" s="125">
        <f>IFERROR(VLOOKUP(B127,'Giro del Lario'!A:P,16,0),0)</f>
        <v>0</v>
      </c>
      <c r="L127" s="114">
        <f>IFERROR(VLOOKUP(B127,'Campo dei Fiori'!A:P,16,0),0)</f>
        <v>0</v>
      </c>
      <c r="M127" s="114">
        <f>IFERROR(VLOOKUP(B127,'Erba Ghisallo'!A:P,16,0),0)</f>
        <v>0</v>
      </c>
      <c r="N127" s="114">
        <f>IFERROR(VLOOKUP(B127,Ambrosiano!A:Q,16,0),0)</f>
        <v>0</v>
      </c>
      <c r="O127" s="47">
        <f>IFERROR(VLOOKUP(B127,Presolana!A:Q,16,0),0)</f>
        <v>0</v>
      </c>
      <c r="P127" s="4"/>
      <c r="Q127" s="60">
        <f t="shared" si="13"/>
        <v>24.558934399999998</v>
      </c>
      <c r="R127" s="2"/>
      <c r="S127" s="56">
        <f>COUNTIF(G127:O127,"&lt;&gt;0")-1</f>
        <v>1</v>
      </c>
      <c r="T127" s="57">
        <f>VLOOKUP(S127,Regolamento!G$6:I$14,3,0)</f>
        <v>1</v>
      </c>
      <c r="U127" s="2"/>
      <c r="V127" s="60">
        <f t="shared" si="11"/>
        <v>24.558934399999998</v>
      </c>
      <c r="X127" s="10"/>
      <c r="Z127" s="119"/>
    </row>
    <row r="128" spans="1:26" x14ac:dyDescent="0.25">
      <c r="A128">
        <v>123</v>
      </c>
      <c r="B128" s="8" t="s">
        <v>26</v>
      </c>
      <c r="C128" s="12" t="str">
        <f>IFERROR(VLOOKUP(B128,concorrenti!A:C,3,0)," ")</f>
        <v>C</v>
      </c>
      <c r="D128" s="12">
        <f>VLOOKUP(B128,concorrenti!A:E,5,0)</f>
        <v>0</v>
      </c>
      <c r="E128" s="12">
        <f>VLOOKUP(B128,concorrenti!A:G,7,0)</f>
        <v>0</v>
      </c>
      <c r="F128" s="12" t="str">
        <f>VLOOKUP(B128,concorrenti!A$1:G$289,2,0)</f>
        <v>VAMS</v>
      </c>
      <c r="G128" s="47">
        <f>IFERROR(VLOOKUP(B128,'Nora Sciplino'!A$12:P$68,16,0),0)</f>
        <v>19.288499999999999</v>
      </c>
      <c r="H128" s="47">
        <f>IFERROR(VLOOKUP(B128,Castellotti!A$12:P$66,16,0),0)</f>
        <v>0</v>
      </c>
      <c r="I128" s="75">
        <f>IFERROR(VLOOKUP(B128,Solidarietà!A:P,16,0),0)</f>
        <v>0</v>
      </c>
      <c r="J128" s="104">
        <f>SUM(G128:I128)/3*J$5</f>
        <v>5.0690178000000001</v>
      </c>
      <c r="K128" s="57">
        <f>IFERROR(VLOOKUP(B128,'Giro del Lario'!A:P,16,0),0)</f>
        <v>0</v>
      </c>
      <c r="L128" s="47">
        <f>IFERROR(VLOOKUP(B128,'Campo dei Fiori'!A:P,16,0),0)</f>
        <v>0</v>
      </c>
      <c r="M128" s="47">
        <f>IFERROR(VLOOKUP(B128,'Erba Ghisallo'!A:P,16,0),0)</f>
        <v>0</v>
      </c>
      <c r="N128" s="47">
        <f>IFERROR(VLOOKUP(B128,Ambrosiano!A:Q,16,0),0)</f>
        <v>0</v>
      </c>
      <c r="O128" s="47">
        <f>IFERROR(VLOOKUP(B128,Presolana!A:Q,16,0),0)</f>
        <v>0</v>
      </c>
      <c r="P128" s="4"/>
      <c r="Q128" s="60">
        <f t="shared" si="13"/>
        <v>24.3575178</v>
      </c>
      <c r="S128" s="56">
        <f>COUNTIF(G128:O128,"&lt;&gt;0")-1</f>
        <v>1</v>
      </c>
      <c r="T128" s="57">
        <f>VLOOKUP(S128,Regolamento!G$6:I$14,3,0)</f>
        <v>1</v>
      </c>
      <c r="V128" s="60">
        <f t="shared" si="11"/>
        <v>24.3575178</v>
      </c>
      <c r="Y128"/>
    </row>
    <row r="129" spans="1:26" x14ac:dyDescent="0.25">
      <c r="A129">
        <v>124</v>
      </c>
      <c r="B129" s="80" t="s">
        <v>572</v>
      </c>
      <c r="C129" s="12" t="str">
        <f>IFERROR(VLOOKUP(B129,concorrenti!A:C,3,0)," ")</f>
        <v>C</v>
      </c>
      <c r="D129" s="12">
        <f>VLOOKUP(B129,concorrenti!A:E,5,0)</f>
        <v>0</v>
      </c>
      <c r="E129" s="12">
        <f>VLOOKUP(B129,concorrenti!A:G,7,0)</f>
        <v>0</v>
      </c>
      <c r="F129" s="12" t="str">
        <f>VLOOKUP(B129,concorrenti!A$1:G$289,2,0)</f>
        <v>OROBICO</v>
      </c>
      <c r="G129" s="47">
        <f>IFERROR(VLOOKUP(B129,'Nora Sciplino'!A$12:P$68,16,0),0)</f>
        <v>0</v>
      </c>
      <c r="H129" s="47">
        <f>IFERROR(VLOOKUP(B129,Castellotti!A$12:P$66,16,0),0)</f>
        <v>0</v>
      </c>
      <c r="I129" s="75">
        <f>IFERROR(VLOOKUP(B129,Solidarietà!A:P,16,0),0)</f>
        <v>0</v>
      </c>
      <c r="J129" s="47">
        <f>IFERROR(VLOOKUP(B129,Gallarate!A:P,16,0),0)</f>
        <v>0</v>
      </c>
      <c r="K129" s="57">
        <f>IFERROR(VLOOKUP(B129,'Giro del Lario'!A:P,16,0),0)</f>
        <v>0</v>
      </c>
      <c r="L129" s="47">
        <f>IFERROR(VLOOKUP(B129,'Campo dei Fiori'!A:P,16,0),0)</f>
        <v>0</v>
      </c>
      <c r="M129" s="47">
        <f>IFERROR(VLOOKUP(B129,'Erba Ghisallo'!A:P,16,0),0)</f>
        <v>0</v>
      </c>
      <c r="N129" s="47">
        <f>IFERROR(VLOOKUP(B129,Ambrosiano!A:Q,16,0),0)</f>
        <v>0</v>
      </c>
      <c r="O129" s="47">
        <f>IFERROR(VLOOKUP(B129,Presolana!A:Q,16,0),0)</f>
        <v>23.715</v>
      </c>
      <c r="P129" s="4"/>
      <c r="Q129" s="60">
        <f t="shared" si="13"/>
        <v>23.715</v>
      </c>
      <c r="S129" s="56">
        <f>COUNTIF(G129:O129,"&lt;&gt;0")</f>
        <v>1</v>
      </c>
      <c r="T129" s="57">
        <f>VLOOKUP(S129,Regolamento!G$6:I$14,3,0)</f>
        <v>1</v>
      </c>
      <c r="V129" s="60">
        <f t="shared" si="11"/>
        <v>23.715</v>
      </c>
      <c r="Y129"/>
    </row>
    <row r="130" spans="1:26" x14ac:dyDescent="0.25">
      <c r="A130">
        <v>125</v>
      </c>
      <c r="B130" s="8" t="s">
        <v>383</v>
      </c>
      <c r="C130" s="12" t="str">
        <f>IFERROR(VLOOKUP(B130,concorrenti!A:C,3,0)," ")</f>
        <v>C</v>
      </c>
      <c r="D130" s="12">
        <f>VLOOKUP(B130,concorrenti!A:E,5,0)</f>
        <v>0</v>
      </c>
      <c r="E130" s="12" t="str">
        <f>VLOOKUP(B130,concorrenti!A:G,7,0)</f>
        <v>MECCANICO</v>
      </c>
      <c r="F130" s="12" t="str">
        <f>VLOOKUP(B130,concorrenti!A$1:G$289,2,0)</f>
        <v>GAMS</v>
      </c>
      <c r="G130" s="47">
        <f>IFERROR(VLOOKUP(B130,'Nora Sciplino'!A$12:P$68,16,0),0)</f>
        <v>0</v>
      </c>
      <c r="H130" s="47">
        <f>IFERROR(VLOOKUP(B130,Castellotti!A$12:P$66,16,0),0)</f>
        <v>0</v>
      </c>
      <c r="I130" s="75">
        <f>IFERROR(VLOOKUP(B130,Solidarietà!A:P,16,0),0)</f>
        <v>0</v>
      </c>
      <c r="J130" s="47">
        <f>IFERROR(VLOOKUP(B130,Gallarate!A:P,16,0),0)</f>
        <v>21.867999999999999</v>
      </c>
      <c r="K130" s="57">
        <f>IFERROR(VLOOKUP(B130,'Giro del Lario'!A:P,16,0),0)</f>
        <v>0</v>
      </c>
      <c r="L130" s="47">
        <f>IFERROR(VLOOKUP(B130,'Campo dei Fiori'!A:P,16,0),0)</f>
        <v>0</v>
      </c>
      <c r="M130" s="47">
        <f>IFERROR(VLOOKUP(B130,'Erba Ghisallo'!A:P,16,0),0)</f>
        <v>0</v>
      </c>
      <c r="N130" s="47">
        <f>IFERROR(VLOOKUP(B130,Ambrosiano!A:Q,16,0),0)</f>
        <v>0</v>
      </c>
      <c r="O130" s="47">
        <f>IFERROR(VLOOKUP(B130,Presolana!A:Q,16,0),0)</f>
        <v>0</v>
      </c>
      <c r="P130" s="4"/>
      <c r="Q130" s="60">
        <f t="shared" si="13"/>
        <v>21.867999999999999</v>
      </c>
      <c r="S130" s="56">
        <f>COUNTIF(G130:O130,"&lt;&gt;0")</f>
        <v>1</v>
      </c>
      <c r="T130" s="57">
        <f>VLOOKUP(S130,Regolamento!G$6:I$14,3,0)</f>
        <v>1</v>
      </c>
      <c r="V130" s="60">
        <f t="shared" si="11"/>
        <v>21.867999999999999</v>
      </c>
      <c r="Y130"/>
    </row>
    <row r="131" spans="1:26" x14ac:dyDescent="0.25">
      <c r="A131">
        <v>126</v>
      </c>
      <c r="B131" s="80" t="s">
        <v>571</v>
      </c>
      <c r="C131" s="12" t="str">
        <f>IFERROR(VLOOKUP(B131,concorrenti!A:C,3,0)," ")</f>
        <v>C</v>
      </c>
      <c r="D131" s="12">
        <f>VLOOKUP(B131,concorrenti!A:E,5,0)</f>
        <v>0</v>
      </c>
      <c r="E131" s="12">
        <f>VLOOKUP(B131,concorrenti!A:G,7,0)</f>
        <v>0</v>
      </c>
      <c r="F131" s="12" t="str">
        <f>VLOOKUP(B131,concorrenti!A$1:G$289,2,0)</f>
        <v>OROBICO</v>
      </c>
      <c r="G131" s="47">
        <f>IFERROR(VLOOKUP(B131,'Nora Sciplino'!A$12:P$68,16,0),0)</f>
        <v>0</v>
      </c>
      <c r="H131" s="47">
        <f>IFERROR(VLOOKUP(B131,Castellotti!A$12:P$66,16,0),0)</f>
        <v>0</v>
      </c>
      <c r="I131" s="75">
        <f>IFERROR(VLOOKUP(B131,Solidarietà!A:P,16,0),0)</f>
        <v>0</v>
      </c>
      <c r="J131" s="47">
        <f>IFERROR(VLOOKUP(B131,Gallarate!A:P,16,0),0)</f>
        <v>0</v>
      </c>
      <c r="K131" s="57">
        <f>IFERROR(VLOOKUP(B131,'Giro del Lario'!A:P,16,0),0)</f>
        <v>0</v>
      </c>
      <c r="L131" s="47">
        <f>IFERROR(VLOOKUP(B131,'Campo dei Fiori'!A:P,16,0),0)</f>
        <v>0</v>
      </c>
      <c r="M131" s="47">
        <f>IFERROR(VLOOKUP(B131,'Erba Ghisallo'!A:P,16,0),0)</f>
        <v>0</v>
      </c>
      <c r="N131" s="47">
        <f>IFERROR(VLOOKUP(B131,Ambrosiano!A:Q,16,0),0)</f>
        <v>0</v>
      </c>
      <c r="O131" s="47">
        <f>IFERROR(VLOOKUP(B131,Presolana!A:Q,16,0),0)</f>
        <v>21.08</v>
      </c>
      <c r="P131" s="4"/>
      <c r="Q131" s="60">
        <f t="shared" si="13"/>
        <v>21.08</v>
      </c>
      <c r="S131" s="56">
        <f>COUNTIF(G131:O131,"&lt;&gt;0")</f>
        <v>1</v>
      </c>
      <c r="T131" s="57">
        <f>VLOOKUP(S131,Regolamento!G$6:I$14,3,0)</f>
        <v>1</v>
      </c>
      <c r="V131" s="60">
        <f t="shared" si="11"/>
        <v>21.08</v>
      </c>
      <c r="Y131"/>
    </row>
    <row r="132" spans="1:26" x14ac:dyDescent="0.25">
      <c r="A132">
        <v>127</v>
      </c>
      <c r="B132" t="s">
        <v>556</v>
      </c>
      <c r="C132" s="12" t="str">
        <f>IFERROR(VLOOKUP(B132,concorrenti!A:C,3,0)," ")</f>
        <v>C</v>
      </c>
      <c r="D132" s="12">
        <f>VLOOKUP(B132,concorrenti!A:E,5,0)</f>
        <v>0</v>
      </c>
      <c r="E132" s="12">
        <f>VLOOKUP(B132,concorrenti!A:G,7,0)</f>
        <v>0</v>
      </c>
      <c r="F132" s="12" t="str">
        <f>VLOOKUP(B132,concorrenti!A$1:G$289,2,0)</f>
        <v>GAMS</v>
      </c>
      <c r="G132" s="47">
        <f>IFERROR(VLOOKUP(B132,'Nora Sciplino'!A$12:P$68,16,0),0)</f>
        <v>16.532999999999998</v>
      </c>
      <c r="H132" s="47">
        <f>IFERROR(VLOOKUP(B132,Castellotti!A$12:P$66,16,0),0)</f>
        <v>0</v>
      </c>
      <c r="I132" s="75">
        <f>IFERROR(VLOOKUP(B132,Solidarietà!A:P,16,0),0)</f>
        <v>0</v>
      </c>
      <c r="J132" s="104">
        <f>SUM(G132:I132)/3*J$5</f>
        <v>4.344872399999999</v>
      </c>
      <c r="K132" s="57">
        <f>IFERROR(VLOOKUP(B132,'Giro del Lario'!A:P,16,0),0)</f>
        <v>0</v>
      </c>
      <c r="L132" s="47">
        <f>IFERROR(VLOOKUP(B132,'Campo dei Fiori'!A:P,16,0),0)</f>
        <v>0</v>
      </c>
      <c r="M132" s="47">
        <f>IFERROR(VLOOKUP(B132,'Erba Ghisallo'!A:P,16,0),0)</f>
        <v>0</v>
      </c>
      <c r="N132" s="47">
        <f>IFERROR(VLOOKUP(B132,Ambrosiano!A:Q,16,0),0)</f>
        <v>0</v>
      </c>
      <c r="O132" s="47">
        <f>IFERROR(VLOOKUP(B132,Presolana!A:Q,16,0),0)</f>
        <v>0</v>
      </c>
      <c r="P132" s="4"/>
      <c r="Q132" s="60">
        <f t="shared" si="13"/>
        <v>20.877872399999998</v>
      </c>
      <c r="S132" s="56">
        <f>COUNTIF(G132:O132,"&lt;&gt;0")-1</f>
        <v>1</v>
      </c>
      <c r="T132" s="57">
        <f>VLOOKUP(S132,Regolamento!G$6:I$14,3,0)</f>
        <v>1</v>
      </c>
      <c r="V132" s="60">
        <f t="shared" si="11"/>
        <v>20.877872399999998</v>
      </c>
      <c r="Y132"/>
    </row>
    <row r="133" spans="1:26" x14ac:dyDescent="0.25">
      <c r="A133">
        <v>128</v>
      </c>
      <c r="B133" t="s">
        <v>202</v>
      </c>
      <c r="C133" s="12" t="str">
        <f>IFERROR(VLOOKUP(B133,concorrenti!A:C,3,0)," ")</f>
        <v>C</v>
      </c>
      <c r="D133" s="12">
        <f>VLOOKUP(B133,concorrenti!A:E,5,0)</f>
        <v>0</v>
      </c>
      <c r="E133" s="12">
        <f>VLOOKUP(B133,concorrenti!A:G,7,0)</f>
        <v>0</v>
      </c>
      <c r="F133" s="12" t="str">
        <f>VLOOKUP(B133,concorrenti!A$1:G$289,2,0)</f>
        <v>CASTELLOTTI</v>
      </c>
      <c r="G133" s="47">
        <f>IFERROR(VLOOKUP(B133,'Nora Sciplino'!A$12:P$68,16,0),0)</f>
        <v>0</v>
      </c>
      <c r="H133" s="47">
        <f>IFERROR(VLOOKUP(B133,Castellotti!A$12:P$66,16,0),0)</f>
        <v>15.674999999999999</v>
      </c>
      <c r="I133" s="75">
        <f>IFERROR(VLOOKUP(B133,Solidarietà!A:P,16,0),0)</f>
        <v>0</v>
      </c>
      <c r="J133" s="104">
        <f>SUM(G133:I133)/3*J$5</f>
        <v>4.1193900000000001</v>
      </c>
      <c r="K133" s="57">
        <f>IFERROR(VLOOKUP(B133,'Giro del Lario'!A:P,16,0),0)</f>
        <v>0</v>
      </c>
      <c r="L133" s="47">
        <f>IFERROR(VLOOKUP(B133,'Campo dei Fiori'!A:P,16,0),0)</f>
        <v>0</v>
      </c>
      <c r="M133" s="47">
        <f>IFERROR(VLOOKUP(B133,'Erba Ghisallo'!A:P,16,0),0)</f>
        <v>0</v>
      </c>
      <c r="N133" s="47">
        <f>IFERROR(VLOOKUP(B133,Ambrosiano!A:Q,16,0),0)</f>
        <v>0</v>
      </c>
      <c r="O133" s="47">
        <f>IFERROR(VLOOKUP(B133,Presolana!A:Q,16,0),0)</f>
        <v>0</v>
      </c>
      <c r="P133" s="4"/>
      <c r="Q133" s="60">
        <f t="shared" si="13"/>
        <v>19.79439</v>
      </c>
      <c r="S133" s="56">
        <f>COUNTIF(G133:O133,"&lt;&gt;0")-1</f>
        <v>1</v>
      </c>
      <c r="T133" s="57">
        <f>VLOOKUP(S133,Regolamento!G$6:I$14,3,0)</f>
        <v>1</v>
      </c>
      <c r="V133" s="60">
        <f t="shared" si="11"/>
        <v>19.79439</v>
      </c>
      <c r="X133" s="10"/>
      <c r="Z133" s="119"/>
    </row>
    <row r="134" spans="1:26" x14ac:dyDescent="0.25">
      <c r="A134">
        <v>129</v>
      </c>
      <c r="B134" s="8" t="s">
        <v>403</v>
      </c>
      <c r="C134" s="12" t="str">
        <f>IFERROR(VLOOKUP(B134,concorrenti!A:C,3,0)," ")</f>
        <v>C</v>
      </c>
      <c r="D134" s="12">
        <f>VLOOKUP(B134,concorrenti!A:E,5,0)</f>
        <v>0</v>
      </c>
      <c r="E134" s="12">
        <f>VLOOKUP(B134,concorrenti!A:G,7,0)</f>
        <v>0</v>
      </c>
      <c r="F134" s="12" t="str">
        <f>VLOOKUP(B134,concorrenti!A$1:G$289,2,0)</f>
        <v>GAMS</v>
      </c>
      <c r="G134" s="47">
        <f>IFERROR(VLOOKUP(B134,'Nora Sciplino'!A$12:P$68,16,0),0)</f>
        <v>0</v>
      </c>
      <c r="H134" s="47">
        <f>IFERROR(VLOOKUP(B134,Castellotti!A$12:P$66,16,0),0)</f>
        <v>0</v>
      </c>
      <c r="I134" s="75">
        <f>IFERROR(VLOOKUP(B134,Solidarietà!A:P,16,0),0)</f>
        <v>0</v>
      </c>
      <c r="J134" s="47">
        <f>IFERROR(VLOOKUP(B134,Gallarate!A:P,16,0),0)</f>
        <v>19.6812</v>
      </c>
      <c r="K134" s="57">
        <f>IFERROR(VLOOKUP(B134,'Giro del Lario'!A:P,16,0),0)</f>
        <v>0</v>
      </c>
      <c r="L134" s="47">
        <f>IFERROR(VLOOKUP(B134,'Campo dei Fiori'!A:P,16,0),0)</f>
        <v>0</v>
      </c>
      <c r="M134" s="47">
        <f>IFERROR(VLOOKUP(B134,'Erba Ghisallo'!A:P,16,0),0)</f>
        <v>0</v>
      </c>
      <c r="N134" s="47">
        <f>IFERROR(VLOOKUP(B134,Ambrosiano!A:Q,16,0),0)</f>
        <v>0</v>
      </c>
      <c r="O134" s="47">
        <f>IFERROR(VLOOKUP(B134,Presolana!A:Q,16,0),0)</f>
        <v>0</v>
      </c>
      <c r="P134" s="4"/>
      <c r="Q134" s="60">
        <f t="shared" si="13"/>
        <v>19.6812</v>
      </c>
      <c r="S134" s="56">
        <f t="shared" ref="S134:S141" si="14">COUNTIF(G134:O134,"&lt;&gt;0")</f>
        <v>1</v>
      </c>
      <c r="T134" s="57">
        <f>VLOOKUP(S134,Regolamento!G$6:I$14,3,0)</f>
        <v>1</v>
      </c>
      <c r="V134" s="60">
        <f t="shared" ref="V134:V165" si="15">+T134*Q134</f>
        <v>19.6812</v>
      </c>
      <c r="Y134"/>
    </row>
    <row r="135" spans="1:26" x14ac:dyDescent="0.25">
      <c r="A135">
        <v>130</v>
      </c>
      <c r="B135" s="80" t="s">
        <v>570</v>
      </c>
      <c r="C135" s="12" t="str">
        <f>IFERROR(VLOOKUP(B135,concorrenti!A:C,3,0)," ")</f>
        <v>C</v>
      </c>
      <c r="D135" s="12">
        <f>VLOOKUP(B135,concorrenti!A:E,5,0)</f>
        <v>0</v>
      </c>
      <c r="E135" s="12">
        <f>VLOOKUP(B135,concorrenti!A:G,7,0)</f>
        <v>0</v>
      </c>
      <c r="F135" s="12" t="str">
        <f>VLOOKUP(B135,concorrenti!A$1:G$289,2,0)</f>
        <v>OROBICO</v>
      </c>
      <c r="G135" s="47">
        <f>IFERROR(VLOOKUP(B135,'Nora Sciplino'!A$12:P$68,16,0),0)</f>
        <v>0</v>
      </c>
      <c r="H135" s="47">
        <f>IFERROR(VLOOKUP(B135,Castellotti!A$12:P$66,16,0),0)</f>
        <v>0</v>
      </c>
      <c r="I135" s="75">
        <f>IFERROR(VLOOKUP(B135,Solidarietà!A:P,16,0),0)</f>
        <v>0</v>
      </c>
      <c r="J135" s="47">
        <f>IFERROR(VLOOKUP(B135,Gallarate!A:P,16,0),0)</f>
        <v>0</v>
      </c>
      <c r="K135" s="57">
        <f>IFERROR(VLOOKUP(B135,'Giro del Lario'!A:P,16,0),0)</f>
        <v>0</v>
      </c>
      <c r="L135" s="47">
        <f>IFERROR(VLOOKUP(B135,'Campo dei Fiori'!A:P,16,0),0)</f>
        <v>0</v>
      </c>
      <c r="M135" s="47">
        <f>IFERROR(VLOOKUP(B135,'Erba Ghisallo'!A:P,16,0),0)</f>
        <v>0</v>
      </c>
      <c r="N135" s="47">
        <f>IFERROR(VLOOKUP(B135,Ambrosiano!A:Q,16,0),0)</f>
        <v>0</v>
      </c>
      <c r="O135" s="47">
        <f>IFERROR(VLOOKUP(B135,Presolana!A:Q,16,0),0)</f>
        <v>18.445</v>
      </c>
      <c r="P135" s="4"/>
      <c r="Q135" s="60">
        <f t="shared" si="13"/>
        <v>18.445</v>
      </c>
      <c r="S135" s="56">
        <f t="shared" si="14"/>
        <v>1</v>
      </c>
      <c r="T135" s="57">
        <f>VLOOKUP(S135,Regolamento!G$6:I$14,3,0)</f>
        <v>1</v>
      </c>
      <c r="V135" s="60">
        <f t="shared" si="15"/>
        <v>18.445</v>
      </c>
      <c r="X135" s="10"/>
      <c r="Z135" s="119"/>
    </row>
    <row r="136" spans="1:26" x14ac:dyDescent="0.25">
      <c r="A136">
        <v>131</v>
      </c>
      <c r="B136" s="8" t="s">
        <v>399</v>
      </c>
      <c r="C136" s="12" t="str">
        <f>IFERROR(VLOOKUP(B136,concorrenti!A:C,3,0)," ")</f>
        <v>C</v>
      </c>
      <c r="D136" s="12">
        <f>VLOOKUP(B136,concorrenti!A:E,5,0)</f>
        <v>0</v>
      </c>
      <c r="E136" s="12" t="str">
        <f>VLOOKUP(B136,concorrenti!A:G,7,0)</f>
        <v>MECCANICO</v>
      </c>
      <c r="F136" s="12" t="str">
        <f>VLOOKUP(B136,concorrenti!A$1:G$289,2,0)</f>
        <v>GAMS</v>
      </c>
      <c r="G136" s="47">
        <f>IFERROR(VLOOKUP(B136,'Nora Sciplino'!A$12:P$68,16,0),0)</f>
        <v>0</v>
      </c>
      <c r="H136" s="47">
        <f>IFERROR(VLOOKUP(B136,Castellotti!A$12:P$66,16,0),0)</f>
        <v>0</v>
      </c>
      <c r="I136" s="75">
        <f>IFERROR(VLOOKUP(B136,Solidarietà!A:P,16,0),0)</f>
        <v>0</v>
      </c>
      <c r="J136" s="47">
        <f>IFERROR(VLOOKUP(B136,Gallarate!A:P,16,0),0)</f>
        <v>17.494399999999999</v>
      </c>
      <c r="K136" s="57">
        <f>IFERROR(VLOOKUP(B136,'Giro del Lario'!A:P,16,0),0)</f>
        <v>0</v>
      </c>
      <c r="L136" s="47">
        <f>IFERROR(VLOOKUP(B136,'Campo dei Fiori'!A:P,16,0),0)</f>
        <v>0</v>
      </c>
      <c r="M136" s="47">
        <f>IFERROR(VLOOKUP(B136,'Erba Ghisallo'!A:P,16,0),0)</f>
        <v>0</v>
      </c>
      <c r="N136" s="47">
        <f>IFERROR(VLOOKUP(B136,Ambrosiano!A:Q,16,0),0)</f>
        <v>0</v>
      </c>
      <c r="O136" s="47">
        <f>IFERROR(VLOOKUP(B136,Presolana!A:Q,16,0),0)</f>
        <v>0</v>
      </c>
      <c r="P136" s="4"/>
      <c r="Q136" s="60">
        <f t="shared" si="13"/>
        <v>17.494399999999999</v>
      </c>
      <c r="S136" s="56">
        <f t="shared" si="14"/>
        <v>1</v>
      </c>
      <c r="T136" s="57">
        <f>VLOOKUP(S136,Regolamento!G$6:I$14,3,0)</f>
        <v>1</v>
      </c>
      <c r="V136" s="60">
        <f t="shared" si="15"/>
        <v>17.494399999999999</v>
      </c>
      <c r="Y136"/>
    </row>
    <row r="137" spans="1:26" x14ac:dyDescent="0.25">
      <c r="A137">
        <v>132</v>
      </c>
      <c r="B137" s="107" t="s">
        <v>488</v>
      </c>
      <c r="C137" s="108" t="str">
        <f>IFERROR(VLOOKUP(B137,concorrenti!A:C,3,0)," ")</f>
        <v>C</v>
      </c>
      <c r="D137" s="108" t="str">
        <f>VLOOKUP(B137,concorrenti!A:E,5,0)</f>
        <v>X</v>
      </c>
      <c r="E137" s="108">
        <f>VLOOKUP(B137,concorrenti!A:G,7,0)</f>
        <v>0</v>
      </c>
      <c r="F137" s="108" t="str">
        <f>VLOOKUP(B137,concorrenti!A$1:G$289,2,0)</f>
        <v>VCC COMO</v>
      </c>
      <c r="G137" s="109">
        <f>IFERROR(VLOOKUP(B137,'Nora Sciplino'!A$12:P$68,16,0),0)</f>
        <v>0</v>
      </c>
      <c r="H137" s="109">
        <f>IFERROR(VLOOKUP(B137,Castellotti!A$12:P$66,16,0),0)</f>
        <v>0</v>
      </c>
      <c r="I137" s="110">
        <f>IFERROR(VLOOKUP(B137,Solidarietà!A:P,16,0),0)</f>
        <v>0</v>
      </c>
      <c r="J137" s="109">
        <f>IFERROR(VLOOKUP(B137,Gallarate!A:P,16,0),0)</f>
        <v>0</v>
      </c>
      <c r="K137" s="124">
        <f>IFERROR(VLOOKUP(B137,'Giro del Lario'!A:P,16,0),0)</f>
        <v>0</v>
      </c>
      <c r="L137" s="109">
        <f>IFERROR(VLOOKUP(B137,'Campo dei Fiori'!A:P,16,0),0)</f>
        <v>0</v>
      </c>
      <c r="M137" s="111">
        <f>IFERROR(VLOOKUP(B137,'Erba Ghisallo'!A:P,16,0),0)</f>
        <v>16.463999999999999</v>
      </c>
      <c r="N137" s="109">
        <f>IFERROR(VLOOKUP(B137,Ambrosiano!A:Q,16,0),0)</f>
        <v>0</v>
      </c>
      <c r="O137" s="47">
        <f>IFERROR(VLOOKUP(B137,Presolana!A:Q,16,0),0)</f>
        <v>0</v>
      </c>
      <c r="P137" s="4"/>
      <c r="Q137" s="60">
        <f t="shared" si="13"/>
        <v>16.463999999999999</v>
      </c>
      <c r="S137" s="56">
        <f t="shared" si="14"/>
        <v>1</v>
      </c>
      <c r="T137" s="57">
        <f>VLOOKUP(S137,Regolamento!G$6:I$14,3,0)</f>
        <v>1</v>
      </c>
      <c r="V137" s="60">
        <f t="shared" si="15"/>
        <v>16.463999999999999</v>
      </c>
      <c r="Y137"/>
    </row>
    <row r="138" spans="1:26" x14ac:dyDescent="0.25">
      <c r="A138">
        <v>133</v>
      </c>
      <c r="B138" s="80" t="s">
        <v>573</v>
      </c>
      <c r="C138" s="12" t="str">
        <f>IFERROR(VLOOKUP(B138,concorrenti!A:C,3,0)," ")</f>
        <v>C</v>
      </c>
      <c r="D138" s="12">
        <f>VLOOKUP(B138,concorrenti!A:E,5,0)</f>
        <v>0</v>
      </c>
      <c r="E138" s="12">
        <f>VLOOKUP(B138,concorrenti!A:G,7,0)</f>
        <v>0</v>
      </c>
      <c r="F138" s="12" t="str">
        <f>VLOOKUP(B138,concorrenti!A$1:G$289,2,0)</f>
        <v>OROBICO</v>
      </c>
      <c r="G138" s="47">
        <f>IFERROR(VLOOKUP(B138,'Nora Sciplino'!A$12:P$68,16,0),0)</f>
        <v>0</v>
      </c>
      <c r="H138" s="47">
        <f>IFERROR(VLOOKUP(B138,Castellotti!A$12:P$66,16,0),0)</f>
        <v>0</v>
      </c>
      <c r="I138" s="75">
        <f>IFERROR(VLOOKUP(B138,Solidarietà!A:P,16,0),0)</f>
        <v>0</v>
      </c>
      <c r="J138" s="47">
        <f>IFERROR(VLOOKUP(B138,Gallarate!A:P,16,0),0)</f>
        <v>0</v>
      </c>
      <c r="K138" s="57">
        <f>IFERROR(VLOOKUP(B138,'Giro del Lario'!A:P,16,0),0)</f>
        <v>0</v>
      </c>
      <c r="L138" s="47">
        <f>IFERROR(VLOOKUP(B138,'Campo dei Fiori'!A:P,16,0),0)</f>
        <v>0</v>
      </c>
      <c r="M138" s="47">
        <f>IFERROR(VLOOKUP(B138,'Erba Ghisallo'!A:P,16,0),0)</f>
        <v>0</v>
      </c>
      <c r="N138" s="47">
        <f>IFERROR(VLOOKUP(B138,Ambrosiano!A:Q,16,0),0)</f>
        <v>0</v>
      </c>
      <c r="O138" s="47">
        <f>IFERROR(VLOOKUP(B138,Presolana!A:Q,16,0),0)</f>
        <v>15.809999999999999</v>
      </c>
      <c r="P138" s="4"/>
      <c r="Q138" s="60">
        <f t="shared" si="13"/>
        <v>15.809999999999999</v>
      </c>
      <c r="S138" s="56">
        <f t="shared" si="14"/>
        <v>1</v>
      </c>
      <c r="T138" s="57">
        <f>VLOOKUP(S138,Regolamento!G$6:I$14,3,0)</f>
        <v>1</v>
      </c>
      <c r="V138" s="60">
        <f t="shared" si="15"/>
        <v>15.809999999999999</v>
      </c>
      <c r="Y138"/>
    </row>
    <row r="139" spans="1:26" x14ac:dyDescent="0.25">
      <c r="A139">
        <v>134</v>
      </c>
      <c r="B139" s="8" t="s">
        <v>387</v>
      </c>
      <c r="C139" s="12" t="str">
        <f>IFERROR(VLOOKUP(B139,concorrenti!A:C,3,0)," ")</f>
        <v>C</v>
      </c>
      <c r="D139" s="12">
        <f>VLOOKUP(B139,concorrenti!A:E,5,0)</f>
        <v>0</v>
      </c>
      <c r="E139" s="12" t="str">
        <f>VLOOKUP(B139,concorrenti!A:G,7,0)</f>
        <v>MECCANICO</v>
      </c>
      <c r="F139" s="12" t="str">
        <f>VLOOKUP(B139,concorrenti!A$1:G$289,2,0)</f>
        <v>GAMS</v>
      </c>
      <c r="G139" s="47">
        <f>IFERROR(VLOOKUP(B139,'Nora Sciplino'!A$12:P$68,16,0),0)</f>
        <v>13.7775</v>
      </c>
      <c r="H139" s="47">
        <f>IFERROR(VLOOKUP(B139,Castellotti!A$12:P$66,16,0),0)</f>
        <v>0</v>
      </c>
      <c r="I139" s="75">
        <f>IFERROR(VLOOKUP(B139,Solidarietà!A:P,16,0),0)</f>
        <v>0</v>
      </c>
      <c r="J139" s="47">
        <f>IFERROR(VLOOKUP(B139,Gallarate!A:P,16,0),0)</f>
        <v>1.0933999999999999</v>
      </c>
      <c r="K139" s="57">
        <f>IFERROR(VLOOKUP(B139,'Giro del Lario'!A:P,16,0),0)</f>
        <v>0</v>
      </c>
      <c r="L139" s="47">
        <f>IFERROR(VLOOKUP(B139,'Campo dei Fiori'!A:P,16,0),0)</f>
        <v>0</v>
      </c>
      <c r="M139" s="47">
        <f>IFERROR(VLOOKUP(B139,'Erba Ghisallo'!A:P,16,0),0)</f>
        <v>0</v>
      </c>
      <c r="N139" s="47">
        <f>IFERROR(VLOOKUP(B139,Ambrosiano!A:Q,16,0),0)</f>
        <v>0</v>
      </c>
      <c r="O139" s="47">
        <f>IFERROR(VLOOKUP(B139,Presolana!A:Q,16,0),0)</f>
        <v>0</v>
      </c>
      <c r="P139" s="4"/>
      <c r="Q139" s="60">
        <f t="shared" si="13"/>
        <v>14.870899999999999</v>
      </c>
      <c r="S139" s="56">
        <f t="shared" si="14"/>
        <v>2</v>
      </c>
      <c r="T139" s="57">
        <f>VLOOKUP(S139,Regolamento!G$6:I$14,3,0)</f>
        <v>1.05</v>
      </c>
      <c r="V139" s="60">
        <f t="shared" si="15"/>
        <v>15.614445</v>
      </c>
      <c r="Y139"/>
    </row>
    <row r="140" spans="1:26" x14ac:dyDescent="0.25">
      <c r="A140">
        <v>135</v>
      </c>
      <c r="B140" s="8" t="s">
        <v>445</v>
      </c>
      <c r="C140" s="12" t="str">
        <f>IFERROR(VLOOKUP(B140,concorrenti!A:C,3,0)," ")</f>
        <v>C</v>
      </c>
      <c r="D140" s="12">
        <f>VLOOKUP(B140,concorrenti!A:E,5,0)</f>
        <v>0</v>
      </c>
      <c r="E140" s="12" t="str">
        <f>VLOOKUP(B140,concorrenti!A:G,7,0)</f>
        <v>MECCANICO</v>
      </c>
      <c r="F140" s="12" t="str">
        <f>VLOOKUP(B140,concorrenti!A$1:G$289,2,0)</f>
        <v>GAMS</v>
      </c>
      <c r="G140" s="47">
        <f>IFERROR(VLOOKUP(B140,'Nora Sciplino'!A$12:P$68,16,0),0)</f>
        <v>0</v>
      </c>
      <c r="H140" s="47">
        <f>IFERROR(VLOOKUP(B140,Castellotti!A$12:P$66,16,0),0)</f>
        <v>0</v>
      </c>
      <c r="I140" s="75">
        <f>IFERROR(VLOOKUP(B140,Solidarietà!A:P,16,0),0)</f>
        <v>0</v>
      </c>
      <c r="J140" s="47">
        <f>IFERROR(VLOOKUP(B140,Gallarate!A:P,16,0),0)</f>
        <v>15.307599999999999</v>
      </c>
      <c r="K140" s="57">
        <f>IFERROR(VLOOKUP(B140,'Giro del Lario'!A:P,16,0),0)</f>
        <v>0</v>
      </c>
      <c r="L140" s="47">
        <f>IFERROR(VLOOKUP(B140,'Campo dei Fiori'!A:P,16,0),0)</f>
        <v>0</v>
      </c>
      <c r="M140" s="47">
        <f>IFERROR(VLOOKUP(B140,'Erba Ghisallo'!A:P,16,0),0)</f>
        <v>0</v>
      </c>
      <c r="N140" s="47">
        <f>IFERROR(VLOOKUP(B140,Ambrosiano!A:Q,16,0),0)</f>
        <v>0</v>
      </c>
      <c r="O140" s="47">
        <f>IFERROR(VLOOKUP(B140,Presolana!A:Q,16,0),0)</f>
        <v>0</v>
      </c>
      <c r="P140" s="4"/>
      <c r="Q140" s="60">
        <f t="shared" si="13"/>
        <v>15.307599999999999</v>
      </c>
      <c r="S140" s="56">
        <f t="shared" si="14"/>
        <v>1</v>
      </c>
      <c r="T140" s="57">
        <f>VLOOKUP(S140,Regolamento!G$6:I$14,3,0)</f>
        <v>1</v>
      </c>
      <c r="V140" s="60">
        <f t="shared" si="15"/>
        <v>15.307599999999999</v>
      </c>
      <c r="X140" s="10"/>
      <c r="Z140" s="119"/>
    </row>
    <row r="141" spans="1:26" x14ac:dyDescent="0.25">
      <c r="A141">
        <v>136</v>
      </c>
      <c r="B141" s="8" t="s">
        <v>397</v>
      </c>
      <c r="C141" s="12" t="str">
        <f>IFERROR(VLOOKUP(B141,concorrenti!A:C,3,0)," ")</f>
        <v>C</v>
      </c>
      <c r="D141" s="12">
        <f>VLOOKUP(B141,concorrenti!A:E,5,0)</f>
        <v>0</v>
      </c>
      <c r="E141" s="12" t="str">
        <f>VLOOKUP(B141,concorrenti!A:G,7,0)</f>
        <v>MECCANICO</v>
      </c>
      <c r="F141" s="12" t="str">
        <f>VLOOKUP(B141,concorrenti!A$1:G$289,2,0)</f>
        <v>GAMS</v>
      </c>
      <c r="G141" s="47">
        <f>IFERROR(VLOOKUP(B141,'Nora Sciplino'!A$12:P$68,16,0),0)</f>
        <v>0</v>
      </c>
      <c r="H141" s="47">
        <f>IFERROR(VLOOKUP(B141,Castellotti!A$12:P$66,16,0),0)</f>
        <v>0</v>
      </c>
      <c r="I141" s="75">
        <f>IFERROR(VLOOKUP(B141,Solidarietà!A:P,16,0),0)</f>
        <v>0</v>
      </c>
      <c r="J141" s="47">
        <f>IFERROR(VLOOKUP(B141,Gallarate!A:P,16,0),0)</f>
        <v>13.120799999999999</v>
      </c>
      <c r="K141" s="57">
        <f>IFERROR(VLOOKUP(B141,'Giro del Lario'!A:P,16,0),0)</f>
        <v>0</v>
      </c>
      <c r="L141" s="47">
        <f>IFERROR(VLOOKUP(B141,'Campo dei Fiori'!A:P,16,0),0)</f>
        <v>0</v>
      </c>
      <c r="M141" s="47">
        <f>IFERROR(VLOOKUP(B141,'Erba Ghisallo'!A:P,16,0),0)</f>
        <v>0</v>
      </c>
      <c r="N141" s="47">
        <f>IFERROR(VLOOKUP(B141,Ambrosiano!A:Q,16,0),0)</f>
        <v>0</v>
      </c>
      <c r="O141" s="47">
        <f>IFERROR(VLOOKUP(B141,Presolana!A:Q,16,0),0)</f>
        <v>0</v>
      </c>
      <c r="P141" s="4"/>
      <c r="Q141" s="60">
        <f t="shared" si="13"/>
        <v>13.120799999999999</v>
      </c>
      <c r="S141" s="56">
        <f t="shared" si="14"/>
        <v>1</v>
      </c>
      <c r="T141" s="57">
        <f>VLOOKUP(S141,Regolamento!G$6:I$14,3,0)</f>
        <v>1</v>
      </c>
      <c r="V141" s="60">
        <f t="shared" si="15"/>
        <v>13.120799999999999</v>
      </c>
      <c r="X141" s="10"/>
      <c r="Z141" s="119"/>
    </row>
    <row r="142" spans="1:26" x14ac:dyDescent="0.25">
      <c r="A142">
        <v>137</v>
      </c>
      <c r="B142" t="s">
        <v>228</v>
      </c>
      <c r="C142" s="12" t="str">
        <f>IFERROR(VLOOKUP(B142,concorrenti!A:C,3,0)," ")</f>
        <v>C</v>
      </c>
      <c r="D142" s="12">
        <f>VLOOKUP(B142,concorrenti!A:E,5,0)</f>
        <v>0</v>
      </c>
      <c r="E142" s="12">
        <f>VLOOKUP(B142,concorrenti!A:G,7,0)</f>
        <v>0</v>
      </c>
      <c r="F142" s="12" t="str">
        <f>VLOOKUP(B142,concorrenti!A$1:G$289,2,0)</f>
        <v>VALTELLINA</v>
      </c>
      <c r="G142" s="47">
        <f>IFERROR(VLOOKUP(B142,'Nora Sciplino'!A$12:P$68,16,0),0)</f>
        <v>0</v>
      </c>
      <c r="H142" s="47">
        <f>IFERROR(VLOOKUP(B142,Castellotti!A$12:P$66,16,0),0)</f>
        <v>9.4049999999999976</v>
      </c>
      <c r="I142" s="75">
        <f>IFERROR(VLOOKUP(B142,Solidarietà!A:P,16,0),0)</f>
        <v>0</v>
      </c>
      <c r="J142" s="104">
        <f>SUM(G142:I142)/3*J$5</f>
        <v>2.4716339999999994</v>
      </c>
      <c r="K142" s="57">
        <f>IFERROR(VLOOKUP(B142,'Giro del Lario'!A:P,16,0),0)</f>
        <v>0</v>
      </c>
      <c r="L142" s="47">
        <f>IFERROR(VLOOKUP(B142,'Campo dei Fiori'!A:P,16,0),0)</f>
        <v>0</v>
      </c>
      <c r="M142" s="47">
        <f>IFERROR(VLOOKUP(B142,'Erba Ghisallo'!A:P,16,0),0)</f>
        <v>0</v>
      </c>
      <c r="N142" s="47">
        <f>IFERROR(VLOOKUP(B142,Ambrosiano!A:Q,16,0),0)</f>
        <v>0</v>
      </c>
      <c r="O142" s="47">
        <f>IFERROR(VLOOKUP(B142,Presolana!A:Q,16,0),0)</f>
        <v>0</v>
      </c>
      <c r="P142" s="4"/>
      <c r="Q142" s="60">
        <f t="shared" si="13"/>
        <v>11.876633999999997</v>
      </c>
      <c r="S142" s="56">
        <f>COUNTIF(G142:O142,"&lt;&gt;0")-1</f>
        <v>1</v>
      </c>
      <c r="T142" s="57">
        <f>VLOOKUP(S142,Regolamento!G$6:I$14,3,0)</f>
        <v>1</v>
      </c>
      <c r="V142" s="60">
        <f t="shared" si="15"/>
        <v>11.876633999999997</v>
      </c>
      <c r="Y142"/>
    </row>
    <row r="143" spans="1:26" x14ac:dyDescent="0.25">
      <c r="A143">
        <v>138</v>
      </c>
      <c r="B143" s="8" t="s">
        <v>382</v>
      </c>
      <c r="C143" s="12" t="str">
        <f>IFERROR(VLOOKUP(B143,concorrenti!A:C,3,0)," ")</f>
        <v>C</v>
      </c>
      <c r="D143" s="12">
        <f>VLOOKUP(B143,concorrenti!A:E,5,0)</f>
        <v>0</v>
      </c>
      <c r="E143" s="12" t="str">
        <f>VLOOKUP(B143,concorrenti!A:G,7,0)</f>
        <v>MECCANICO</v>
      </c>
      <c r="F143" s="12" t="str">
        <f>VLOOKUP(B143,concorrenti!A$1:G$289,2,0)</f>
        <v>GAMS</v>
      </c>
      <c r="G143" s="47">
        <f>IFERROR(VLOOKUP(B143,'Nora Sciplino'!A$12:P$68,16,0),0)</f>
        <v>0</v>
      </c>
      <c r="H143" s="47">
        <f>IFERROR(VLOOKUP(B143,Castellotti!A$12:P$66,16,0),0)</f>
        <v>0</v>
      </c>
      <c r="I143" s="75">
        <f>IFERROR(VLOOKUP(B143,Solidarietà!A:P,16,0),0)</f>
        <v>0</v>
      </c>
      <c r="J143" s="47">
        <f>IFERROR(VLOOKUP(B143,Gallarate!A:P,16,0),0)</f>
        <v>8.7471999999999994</v>
      </c>
      <c r="K143" s="57">
        <f>IFERROR(VLOOKUP(B143,'Giro del Lario'!A:P,16,0),0)</f>
        <v>0</v>
      </c>
      <c r="L143" s="47">
        <f>IFERROR(VLOOKUP(B143,'Campo dei Fiori'!A:P,16,0),0)</f>
        <v>0</v>
      </c>
      <c r="M143" s="47">
        <f>IFERROR(VLOOKUP(B143,'Erba Ghisallo'!A:P,16,0),0)</f>
        <v>0</v>
      </c>
      <c r="N143" s="47">
        <f>IFERROR(VLOOKUP(B143,Ambrosiano!A:Q,16,0),0)</f>
        <v>0</v>
      </c>
      <c r="O143" s="47">
        <f>IFERROR(VLOOKUP(B143,Presolana!A:Q,16,0),0)</f>
        <v>0</v>
      </c>
      <c r="P143" s="4"/>
      <c r="Q143" s="60">
        <f t="shared" si="13"/>
        <v>8.7471999999999994</v>
      </c>
      <c r="S143" s="56">
        <f>COUNTIF(G143:O143,"&lt;&gt;0")</f>
        <v>1</v>
      </c>
      <c r="T143" s="57">
        <f>VLOOKUP(S143,Regolamento!G$6:I$14,3,0)</f>
        <v>1</v>
      </c>
      <c r="V143" s="60">
        <f t="shared" si="15"/>
        <v>8.7471999999999994</v>
      </c>
      <c r="Y143"/>
    </row>
    <row r="144" spans="1:26" x14ac:dyDescent="0.25">
      <c r="A144">
        <v>139</v>
      </c>
      <c r="B144" t="s">
        <v>188</v>
      </c>
      <c r="C144" s="12" t="str">
        <f>IFERROR(VLOOKUP(B144,concorrenti!A:C,3,0)," ")</f>
        <v>C</v>
      </c>
      <c r="D144" s="12">
        <f>VLOOKUP(B144,concorrenti!A:E,5,0)</f>
        <v>0</v>
      </c>
      <c r="E144" s="12">
        <f>VLOOKUP(B144,concorrenti!A:G,7,0)</f>
        <v>0</v>
      </c>
      <c r="F144" s="12" t="str">
        <f>VLOOKUP(B144,concorrenti!A$1:G$289,2,0)</f>
        <v>CASTELLOTTI</v>
      </c>
      <c r="G144" s="47">
        <f>IFERROR(VLOOKUP(B144,'Nora Sciplino'!A$12:P$68,16,0),0)</f>
        <v>0</v>
      </c>
      <c r="H144" s="47">
        <f>IFERROR(VLOOKUP(B144,Castellotti!A$12:P$66,16,0),0)</f>
        <v>6.27</v>
      </c>
      <c r="I144" s="75">
        <f>IFERROR(VLOOKUP(B144,Solidarietà!A:P,16,0),0)</f>
        <v>0</v>
      </c>
      <c r="J144" s="104">
        <f>SUM(G144:I144)/3*J$5</f>
        <v>1.6477559999999998</v>
      </c>
      <c r="K144" s="57">
        <f>IFERROR(VLOOKUP(B144,'Giro del Lario'!A:P,16,0),0)</f>
        <v>0</v>
      </c>
      <c r="L144" s="47">
        <f>IFERROR(VLOOKUP(B144,'Campo dei Fiori'!A:P,16,0),0)</f>
        <v>0</v>
      </c>
      <c r="M144" s="47">
        <f>IFERROR(VLOOKUP(B144,'Erba Ghisallo'!A:P,16,0),0)</f>
        <v>0</v>
      </c>
      <c r="N144" s="47">
        <f>IFERROR(VLOOKUP(B144,Ambrosiano!A:Q,16,0),0)</f>
        <v>0</v>
      </c>
      <c r="O144" s="47">
        <f>IFERROR(VLOOKUP(B144,Presolana!A:Q,16,0),0)</f>
        <v>0</v>
      </c>
      <c r="P144" s="4"/>
      <c r="Q144" s="60">
        <f t="shared" si="13"/>
        <v>7.9177559999999989</v>
      </c>
      <c r="S144" s="56">
        <f>COUNTIF(G144:O144,"&lt;&gt;0")-1</f>
        <v>1</v>
      </c>
      <c r="T144" s="57">
        <f>VLOOKUP(S144,Regolamento!G$6:I$14,3,0)</f>
        <v>1</v>
      </c>
      <c r="V144" s="60">
        <f t="shared" si="15"/>
        <v>7.9177559999999989</v>
      </c>
      <c r="Y144"/>
    </row>
    <row r="145" spans="1:26" x14ac:dyDescent="0.25">
      <c r="A145">
        <v>140</v>
      </c>
      <c r="B145" s="112" t="s">
        <v>446</v>
      </c>
      <c r="C145" s="76" t="str">
        <f>IFERROR(VLOOKUP(B145,concorrenti!A:C,3,0)," ")</f>
        <v>C</v>
      </c>
      <c r="D145" s="76">
        <f>VLOOKUP(B145,concorrenti!A:E,5,0)</f>
        <v>0</v>
      </c>
      <c r="E145" s="76" t="str">
        <f>VLOOKUP(B145,concorrenti!A:G,7,0)</f>
        <v>MECCANICO</v>
      </c>
      <c r="F145" s="76" t="str">
        <f>VLOOKUP(B145,concorrenti!A$1:G$289,2,0)</f>
        <v>GAMS</v>
      </c>
      <c r="G145" s="114">
        <f>IFERROR(VLOOKUP(B145,'Nora Sciplino'!A$12:P$68,16,0),0)</f>
        <v>0</v>
      </c>
      <c r="H145" s="114">
        <f>IFERROR(VLOOKUP(B145,Castellotti!A$12:P$66,16,0),0)</f>
        <v>0</v>
      </c>
      <c r="I145" s="115">
        <f>IFERROR(VLOOKUP(B145,Solidarietà!A:P,16,0),0)</f>
        <v>0</v>
      </c>
      <c r="J145" s="111">
        <f>IFERROR(VLOOKUP(B145,Gallarate!A:P,16,0),0)</f>
        <v>6.5603999999999996</v>
      </c>
      <c r="K145" s="125">
        <f>IFERROR(VLOOKUP(B145,'Giro del Lario'!A:P,16,0),0)</f>
        <v>0</v>
      </c>
      <c r="L145" s="114">
        <f>IFERROR(VLOOKUP(B145,'Campo dei Fiori'!A:P,16,0),0)</f>
        <v>0</v>
      </c>
      <c r="M145" s="114">
        <f>IFERROR(VLOOKUP(B145,'Erba Ghisallo'!A:P,16,0),0)</f>
        <v>0</v>
      </c>
      <c r="N145" s="114">
        <f>IFERROR(VLOOKUP(B145,Ambrosiano!A:Q,16,0),0)</f>
        <v>0</v>
      </c>
      <c r="O145" s="47">
        <f>IFERROR(VLOOKUP(B145,Presolana!A:Q,16,0),0)</f>
        <v>0</v>
      </c>
      <c r="P145" s="4"/>
      <c r="Q145" s="60">
        <f t="shared" ref="Q145:Q176" si="16">SUM(G145:P145)</f>
        <v>6.5603999999999996</v>
      </c>
      <c r="R145" s="2"/>
      <c r="S145" s="56">
        <f>COUNTIF(G145:O145,"&lt;&gt;0")</f>
        <v>1</v>
      </c>
      <c r="T145" s="57">
        <f>VLOOKUP(S145,Regolamento!G$6:I$14,3,0)</f>
        <v>1</v>
      </c>
      <c r="U145" s="2"/>
      <c r="V145" s="60">
        <f t="shared" si="15"/>
        <v>6.5603999999999996</v>
      </c>
      <c r="Y145"/>
    </row>
    <row r="146" spans="1:26" x14ac:dyDescent="0.25">
      <c r="A146">
        <v>141</v>
      </c>
      <c r="B146" s="80" t="s">
        <v>574</v>
      </c>
      <c r="C146" s="12" t="str">
        <f>IFERROR(VLOOKUP(B146,concorrenti!A:C,3,0)," ")</f>
        <v>C</v>
      </c>
      <c r="D146" s="12">
        <f>VLOOKUP(B146,concorrenti!A:E,5,0)</f>
        <v>0</v>
      </c>
      <c r="E146" s="12">
        <f>VLOOKUP(B146,concorrenti!A:G,7,0)</f>
        <v>0</v>
      </c>
      <c r="F146" s="12" t="str">
        <f>VLOOKUP(B146,concorrenti!A$1:G$289,2,0)</f>
        <v>OMCB</v>
      </c>
      <c r="G146" s="47">
        <f>IFERROR(VLOOKUP(B146,'Nora Sciplino'!A$12:P$68,16,0),0)</f>
        <v>0</v>
      </c>
      <c r="H146" s="47">
        <f>IFERROR(VLOOKUP(B146,Castellotti!A$12:P$66,16,0),0)</f>
        <v>0</v>
      </c>
      <c r="I146" s="75">
        <f>IFERROR(VLOOKUP(B146,Solidarietà!A:P,16,0),0)</f>
        <v>0</v>
      </c>
      <c r="J146" s="47">
        <f>IFERROR(VLOOKUP(B146,Gallarate!A:P,16,0),0)</f>
        <v>0</v>
      </c>
      <c r="K146" s="57">
        <f>IFERROR(VLOOKUP(B146,'Giro del Lario'!A:P,16,0),0)</f>
        <v>0</v>
      </c>
      <c r="L146" s="47">
        <f>IFERROR(VLOOKUP(B146,'Campo dei Fiori'!A:P,16,0),0)</f>
        <v>0</v>
      </c>
      <c r="M146" s="47">
        <f>IFERROR(VLOOKUP(B146,'Erba Ghisallo'!A:P,16,0),0)</f>
        <v>0</v>
      </c>
      <c r="N146" s="47">
        <f>IFERROR(VLOOKUP(B146,Ambrosiano!A:Q,16,0),0)</f>
        <v>0</v>
      </c>
      <c r="O146" s="47">
        <f>IFERROR(VLOOKUP(B146,Presolana!A:Q,16,0),0)</f>
        <v>5.27</v>
      </c>
      <c r="P146" s="4"/>
      <c r="Q146" s="60">
        <f t="shared" si="16"/>
        <v>5.27</v>
      </c>
      <c r="S146" s="56">
        <f>COUNTIF(G146:O146,"&lt;&gt;0")</f>
        <v>1</v>
      </c>
      <c r="T146" s="57">
        <f>VLOOKUP(S146,Regolamento!G$6:I$14,3,0)</f>
        <v>1</v>
      </c>
      <c r="V146" s="60">
        <f t="shared" si="15"/>
        <v>5.27</v>
      </c>
      <c r="X146" s="10"/>
      <c r="Z146" s="119"/>
    </row>
    <row r="147" spans="1:26" x14ac:dyDescent="0.25">
      <c r="A147">
        <v>142</v>
      </c>
      <c r="B147" s="8" t="s">
        <v>381</v>
      </c>
      <c r="C147" s="12" t="str">
        <f>IFERROR(VLOOKUP(B147,concorrenti!A:C,3,0)," ")</f>
        <v>C</v>
      </c>
      <c r="D147" s="12">
        <f>VLOOKUP(B147,concorrenti!A:E,5,0)</f>
        <v>0</v>
      </c>
      <c r="E147" s="12" t="str">
        <f>VLOOKUP(B147,concorrenti!A:G,7,0)</f>
        <v>MECCANICO</v>
      </c>
      <c r="F147" s="12" t="str">
        <f>VLOOKUP(B147,concorrenti!A$1:G$289,2,0)</f>
        <v>GAMS</v>
      </c>
      <c r="G147" s="47">
        <f>IFERROR(VLOOKUP(B147,'Nora Sciplino'!A$12:P$68,16,0),0)</f>
        <v>0</v>
      </c>
      <c r="H147" s="47">
        <f>IFERROR(VLOOKUP(B147,Castellotti!A$12:P$66,16,0),0)</f>
        <v>0</v>
      </c>
      <c r="I147" s="75">
        <f>IFERROR(VLOOKUP(B147,Solidarietà!A:P,16,0),0)</f>
        <v>0</v>
      </c>
      <c r="J147" s="47">
        <f>IFERROR(VLOOKUP(B147,Gallarate!A:P,16,0),0)</f>
        <v>4.3735999999999997</v>
      </c>
      <c r="K147" s="57">
        <f>IFERROR(VLOOKUP(B147,'Giro del Lario'!A:P,16,0),0)</f>
        <v>0</v>
      </c>
      <c r="L147" s="47">
        <f>IFERROR(VLOOKUP(B147,'Campo dei Fiori'!A:P,16,0),0)</f>
        <v>0</v>
      </c>
      <c r="M147" s="47">
        <f>IFERROR(VLOOKUP(B147,'Erba Ghisallo'!A:P,16,0),0)</f>
        <v>0</v>
      </c>
      <c r="N147" s="47">
        <f>IFERROR(VLOOKUP(B147,Ambrosiano!A:Q,16,0),0)</f>
        <v>0</v>
      </c>
      <c r="O147" s="47">
        <f>IFERROR(VLOOKUP(B147,Presolana!A:Q,16,0),0)</f>
        <v>0</v>
      </c>
      <c r="P147" s="4"/>
      <c r="Q147" s="60">
        <f t="shared" si="16"/>
        <v>4.3735999999999997</v>
      </c>
      <c r="S147" s="56">
        <f>COUNTIF(G147:O147,"&lt;&gt;0")</f>
        <v>1</v>
      </c>
      <c r="T147" s="57">
        <f>VLOOKUP(S147,Regolamento!G$6:I$14,3,0)</f>
        <v>1</v>
      </c>
      <c r="V147" s="60">
        <f t="shared" si="15"/>
        <v>4.3735999999999997</v>
      </c>
      <c r="Y147"/>
    </row>
    <row r="148" spans="1:26" x14ac:dyDescent="0.25">
      <c r="A148">
        <v>143</v>
      </c>
      <c r="B148" s="8" t="s">
        <v>90</v>
      </c>
      <c r="C148" s="12" t="str">
        <f>IFERROR(VLOOKUP(B148,concorrenti!A:C,3,0)," ")</f>
        <v>C</v>
      </c>
      <c r="D148" s="12">
        <f>VLOOKUP(B148,concorrenti!A:E,5,0)</f>
        <v>0</v>
      </c>
      <c r="E148" s="12">
        <f>VLOOKUP(B148,concorrenti!A:G,7,0)</f>
        <v>0</v>
      </c>
      <c r="F148" s="12" t="str">
        <f>VLOOKUP(B148,concorrenti!A$1:G$289,2,0)</f>
        <v>CASTELLOTTI</v>
      </c>
      <c r="G148" s="47">
        <f>IFERROR(VLOOKUP(B148,'Nora Sciplino'!A$12:P$68,16,0),0)</f>
        <v>1.3777499999999998</v>
      </c>
      <c r="H148" s="47">
        <f>IFERROR(VLOOKUP(B148,Castellotti!A$12:P$66,16,0),0)</f>
        <v>1.5674999999999999</v>
      </c>
      <c r="I148" s="75">
        <f>IFERROR(VLOOKUP(B148,Solidarietà!A:P,16,0),0)</f>
        <v>0</v>
      </c>
      <c r="J148" s="104">
        <f>SUM(G148:I148)/3*J$5</f>
        <v>0.77401169999999986</v>
      </c>
      <c r="K148" s="57">
        <f>IFERROR(VLOOKUP(B148,'Giro del Lario'!A:P,16,0),0)</f>
        <v>0</v>
      </c>
      <c r="L148" s="47">
        <f>IFERROR(VLOOKUP(B148,'Campo dei Fiori'!A:P,16,0),0)</f>
        <v>0</v>
      </c>
      <c r="M148" s="47">
        <f>IFERROR(VLOOKUP(B148,'Erba Ghisallo'!A:P,16,0),0)</f>
        <v>0</v>
      </c>
      <c r="N148" s="47">
        <f>IFERROR(VLOOKUP(B148,Ambrosiano!A:Q,16,0),0)</f>
        <v>0</v>
      </c>
      <c r="O148" s="47">
        <f>IFERROR(VLOOKUP(B148,Presolana!A:Q,16,0),0)</f>
        <v>0</v>
      </c>
      <c r="P148" s="4"/>
      <c r="Q148" s="60">
        <f t="shared" si="16"/>
        <v>3.7192616999999997</v>
      </c>
      <c r="S148" s="56">
        <f>COUNTIF(G148:O148,"&lt;&gt;0")-1</f>
        <v>2</v>
      </c>
      <c r="T148" s="57">
        <f>VLOOKUP(S148,Regolamento!G$6:I$14,3,0)</f>
        <v>1.05</v>
      </c>
      <c r="V148" s="60">
        <f t="shared" si="15"/>
        <v>3.9052247849999997</v>
      </c>
      <c r="X148" s="10"/>
      <c r="Z148" s="119"/>
    </row>
    <row r="149" spans="1:26" x14ac:dyDescent="0.25">
      <c r="A149">
        <v>144</v>
      </c>
      <c r="B149" s="8" t="s">
        <v>299</v>
      </c>
      <c r="C149" s="12" t="str">
        <f>IFERROR(VLOOKUP(B149,concorrenti!A:C,3,0)," ")</f>
        <v>C</v>
      </c>
      <c r="D149" s="12">
        <f>VLOOKUP(B149,concorrenti!A:E,5,0)</f>
        <v>0</v>
      </c>
      <c r="E149" s="12">
        <f>VLOOKUP(B149,concorrenti!A:G,7,0)</f>
        <v>0</v>
      </c>
      <c r="F149" s="12" t="str">
        <f>VLOOKUP(B149,concorrenti!A$1:G$289,2,0)</f>
        <v>CMAE</v>
      </c>
      <c r="G149" s="47">
        <f>IFERROR(VLOOKUP(B149,'Nora Sciplino'!A$12:P$68,16,0),0)</f>
        <v>2.7554999999999996</v>
      </c>
      <c r="H149" s="47">
        <f>IFERROR(VLOOKUP(B149,Castellotti!A$12:P$66,16,0),0)</f>
        <v>0</v>
      </c>
      <c r="I149" s="75">
        <f>IFERROR(VLOOKUP(B149,Solidarietà!A:P,16,0),0)</f>
        <v>0</v>
      </c>
      <c r="J149" s="104">
        <f>SUM(G149:I149)/3*J$5</f>
        <v>0.72414539999999994</v>
      </c>
      <c r="K149" s="57">
        <f>IFERROR(VLOOKUP(B149,'Giro del Lario'!A:P,16,0),0)</f>
        <v>0</v>
      </c>
      <c r="L149" s="47">
        <f>IFERROR(VLOOKUP(B149,'Campo dei Fiori'!A:P,16,0),0)</f>
        <v>0</v>
      </c>
      <c r="M149" s="47">
        <f>IFERROR(VLOOKUP(B149,'Erba Ghisallo'!A:P,16,0),0)</f>
        <v>0</v>
      </c>
      <c r="N149" s="47">
        <f>IFERROR(VLOOKUP(B149,Ambrosiano!A:Q,16,0),0)</f>
        <v>0</v>
      </c>
      <c r="O149" s="47">
        <f>IFERROR(VLOOKUP(B149,Presolana!A:Q,16,0),0)</f>
        <v>0</v>
      </c>
      <c r="P149" s="4"/>
      <c r="Q149" s="60">
        <f t="shared" si="16"/>
        <v>3.4796453999999994</v>
      </c>
      <c r="S149" s="56">
        <f>COUNTIF(G149:O149,"&lt;&gt;0")-1</f>
        <v>1</v>
      </c>
      <c r="T149" s="57">
        <f>VLOOKUP(S149,Regolamento!G$6:I$14,3,0)</f>
        <v>1</v>
      </c>
      <c r="V149" s="60">
        <f t="shared" si="15"/>
        <v>3.4796453999999994</v>
      </c>
      <c r="Y149"/>
    </row>
    <row r="150" spans="1:26" x14ac:dyDescent="0.25">
      <c r="A150">
        <v>145</v>
      </c>
      <c r="B150" t="s">
        <v>212</v>
      </c>
      <c r="C150" s="12" t="str">
        <f>IFERROR(VLOOKUP(B150,concorrenti!A:C,3,0)," ")</f>
        <v>C</v>
      </c>
      <c r="D150" s="12">
        <f>VLOOKUP(B150,concorrenti!A:E,5,0)</f>
        <v>0</v>
      </c>
      <c r="E150" s="12">
        <f>VLOOKUP(B150,concorrenti!A:G,7,0)</f>
        <v>0</v>
      </c>
      <c r="F150" s="12" t="str">
        <f>VLOOKUP(B150,concorrenti!A$1:G$289,2,0)</f>
        <v>CAVEM</v>
      </c>
      <c r="G150" s="47">
        <f>IFERROR(VLOOKUP(B150,'Nora Sciplino'!A$12:P$68,16,0),0)</f>
        <v>0</v>
      </c>
      <c r="H150" s="47">
        <f>IFERROR(VLOOKUP(B150,Castellotti!A$12:P$66,16,0),0)</f>
        <v>1.5674999999999999</v>
      </c>
      <c r="I150" s="75">
        <f>IFERROR(VLOOKUP(B150,Solidarietà!A:P,16,0),0)</f>
        <v>0</v>
      </c>
      <c r="J150" s="47">
        <f>IFERROR(VLOOKUP(B150,Gallarate!A:P,16,0),0)</f>
        <v>1.0933999999999999</v>
      </c>
      <c r="K150" s="57">
        <f>IFERROR(VLOOKUP(B150,'Giro del Lario'!A:P,16,0),0)</f>
        <v>0</v>
      </c>
      <c r="L150" s="47">
        <f>IFERROR(VLOOKUP(B150,'Campo dei Fiori'!A:P,16,0),0)</f>
        <v>0</v>
      </c>
      <c r="M150" s="47">
        <f>IFERROR(VLOOKUP(B150,'Erba Ghisallo'!A:P,16,0),0)</f>
        <v>0</v>
      </c>
      <c r="N150" s="47">
        <f>IFERROR(VLOOKUP(B150,Ambrosiano!A:Q,16,0),0)</f>
        <v>0</v>
      </c>
      <c r="O150" s="47">
        <f>IFERROR(VLOOKUP(B150,Presolana!A:Q,16,0),0)</f>
        <v>0</v>
      </c>
      <c r="P150" s="6"/>
      <c r="Q150" s="60">
        <f t="shared" si="16"/>
        <v>2.6608999999999998</v>
      </c>
      <c r="S150" s="56">
        <f t="shared" ref="S150:S155" si="17">COUNTIF(G150:O150,"&lt;&gt;0")</f>
        <v>2</v>
      </c>
      <c r="T150" s="57">
        <f>VLOOKUP(S150,Regolamento!G$6:I$14,3,0)</f>
        <v>1.05</v>
      </c>
      <c r="V150" s="60">
        <f t="shared" si="15"/>
        <v>2.7939449999999999</v>
      </c>
      <c r="X150" s="10"/>
      <c r="Z150" s="119"/>
    </row>
    <row r="151" spans="1:26" x14ac:dyDescent="0.25">
      <c r="A151">
        <v>146</v>
      </c>
      <c r="B151" s="80" t="s">
        <v>575</v>
      </c>
      <c r="C151" s="12" t="str">
        <f>IFERROR(VLOOKUP(B151,concorrenti!A:C,3,0)," ")</f>
        <v>C</v>
      </c>
      <c r="D151" s="12">
        <f>VLOOKUP(B151,concorrenti!A:E,5,0)</f>
        <v>0</v>
      </c>
      <c r="E151" s="12">
        <f>VLOOKUP(B151,concorrenti!A:G,7,0)</f>
        <v>0</v>
      </c>
      <c r="F151" s="12" t="str">
        <f>VLOOKUP(B151,concorrenti!A$1:G$289,2,0)</f>
        <v>OROBICO</v>
      </c>
      <c r="G151" s="47">
        <f>IFERROR(VLOOKUP(B151,'Nora Sciplino'!A$12:P$68,16,0),0)</f>
        <v>0</v>
      </c>
      <c r="H151" s="47">
        <f>IFERROR(VLOOKUP(B151,Castellotti!A$12:P$66,16,0),0)</f>
        <v>0</v>
      </c>
      <c r="I151" s="75">
        <f>IFERROR(VLOOKUP(B151,Solidarietà!A:P,16,0),0)</f>
        <v>0</v>
      </c>
      <c r="J151" s="47">
        <f>IFERROR(VLOOKUP(B151,Gallarate!A:P,16,0),0)</f>
        <v>0</v>
      </c>
      <c r="K151" s="57">
        <f>IFERROR(VLOOKUP(B151,'Giro del Lario'!A:P,16,0),0)</f>
        <v>0</v>
      </c>
      <c r="L151" s="47">
        <f>IFERROR(VLOOKUP(B151,'Campo dei Fiori'!A:P,16,0),0)</f>
        <v>0</v>
      </c>
      <c r="M151" s="47">
        <f>IFERROR(VLOOKUP(B151,'Erba Ghisallo'!A:P,16,0),0)</f>
        <v>0</v>
      </c>
      <c r="N151" s="47">
        <f>IFERROR(VLOOKUP(B151,Ambrosiano!A:Q,16,0),0)</f>
        <v>0</v>
      </c>
      <c r="O151" s="47">
        <f>IFERROR(VLOOKUP(B151,Presolana!A:Q,16,0),0)</f>
        <v>2.6349999999999998</v>
      </c>
      <c r="P151" s="4"/>
      <c r="Q151" s="60">
        <f t="shared" si="16"/>
        <v>2.6349999999999998</v>
      </c>
      <c r="S151" s="56">
        <f t="shared" si="17"/>
        <v>1</v>
      </c>
      <c r="T151" s="57">
        <f>VLOOKUP(S151,Regolamento!G$6:I$14,3,0)</f>
        <v>1</v>
      </c>
      <c r="V151" s="60">
        <f t="shared" si="15"/>
        <v>2.6349999999999998</v>
      </c>
      <c r="X151" s="10"/>
      <c r="Z151" s="119"/>
    </row>
    <row r="152" spans="1:26" x14ac:dyDescent="0.25">
      <c r="A152">
        <v>147</v>
      </c>
      <c r="B152" s="8" t="s">
        <v>86</v>
      </c>
      <c r="C152" s="12" t="str">
        <f>IFERROR(VLOOKUP(B152,concorrenti!A:C,3,0)," ")</f>
        <v>C</v>
      </c>
      <c r="D152" s="12">
        <f>VLOOKUP(B152,concorrenti!A:E,5,0)</f>
        <v>0</v>
      </c>
      <c r="E152" s="12">
        <f>VLOOKUP(B152,concorrenti!A:G,7,0)</f>
        <v>0</v>
      </c>
      <c r="F152" s="12" t="str">
        <f>VLOOKUP(B152,concorrenti!A$1:G$289,2,0)</f>
        <v>VALTELLINA</v>
      </c>
      <c r="G152" s="47">
        <f>IFERROR(VLOOKUP(B152,'Nora Sciplino'!A$12:P$68,16,0),0)</f>
        <v>1.3777499999999998</v>
      </c>
      <c r="H152" s="47">
        <f>IFERROR(VLOOKUP(B152,Castellotti!A$12:P$66,16,0),0)</f>
        <v>0</v>
      </c>
      <c r="I152" s="75">
        <f>IFERROR(VLOOKUP(B152,Solidarietà!A:P,16,0),0)</f>
        <v>0</v>
      </c>
      <c r="J152" s="47">
        <f>IFERROR(VLOOKUP(B152,Gallarate!A:P,16,0),0)</f>
        <v>1.0933999999999999</v>
      </c>
      <c r="K152" s="57">
        <f>IFERROR(VLOOKUP(B152,'Giro del Lario'!A:P,16,0),0)</f>
        <v>0</v>
      </c>
      <c r="L152" s="47">
        <f>IFERROR(VLOOKUP(B152,'Campo dei Fiori'!A:P,16,0),0)</f>
        <v>0</v>
      </c>
      <c r="M152" s="47">
        <f>IFERROR(VLOOKUP(B152,'Erba Ghisallo'!A:P,16,0),0)</f>
        <v>0</v>
      </c>
      <c r="N152" s="47">
        <f>IFERROR(VLOOKUP(B152,Ambrosiano!A:Q,16,0),0)</f>
        <v>0</v>
      </c>
      <c r="O152" s="47">
        <f>IFERROR(VLOOKUP(B152,Presolana!A:Q,16,0),0)</f>
        <v>0</v>
      </c>
      <c r="P152" s="4"/>
      <c r="Q152" s="60">
        <f t="shared" si="16"/>
        <v>2.4711499999999997</v>
      </c>
      <c r="S152" s="56">
        <f t="shared" si="17"/>
        <v>2</v>
      </c>
      <c r="T152" s="57">
        <f>VLOOKUP(S152,Regolamento!G$6:I$14,3,0)</f>
        <v>1.05</v>
      </c>
      <c r="V152" s="60">
        <f t="shared" si="15"/>
        <v>2.5947074999999997</v>
      </c>
      <c r="X152" s="10"/>
      <c r="Z152" s="119"/>
    </row>
    <row r="153" spans="1:26" x14ac:dyDescent="0.25">
      <c r="A153">
        <v>148</v>
      </c>
      <c r="B153" s="8" t="s">
        <v>392</v>
      </c>
      <c r="C153" s="12" t="str">
        <f>IFERROR(VLOOKUP(B153,concorrenti!A:C,3,0)," ")</f>
        <v>C</v>
      </c>
      <c r="D153" s="12">
        <f>VLOOKUP(B153,concorrenti!A:E,5,0)</f>
        <v>0</v>
      </c>
      <c r="E153" s="12" t="str">
        <f>VLOOKUP(B153,concorrenti!A:G,7,0)</f>
        <v>MECCANICO</v>
      </c>
      <c r="F153" s="12" t="str">
        <f>VLOOKUP(B153,concorrenti!A$1:G$289,2,0)</f>
        <v>GAMS</v>
      </c>
      <c r="G153" s="47">
        <f>IFERROR(VLOOKUP(B153,'Nora Sciplino'!A$12:P$68,16,0),0)</f>
        <v>1.3777499999999998</v>
      </c>
      <c r="H153" s="47">
        <f>IFERROR(VLOOKUP(B153,Castellotti!A$12:P$66,16,0),0)</f>
        <v>0</v>
      </c>
      <c r="I153" s="75">
        <f>IFERROR(VLOOKUP(B153,Solidarietà!A:P,16,0),0)</f>
        <v>0</v>
      </c>
      <c r="J153" s="47">
        <f>IFERROR(VLOOKUP(B153,Gallarate!A:P,16,0),0)</f>
        <v>1.0933999999999999</v>
      </c>
      <c r="K153" s="57">
        <f>IFERROR(VLOOKUP(B153,'Giro del Lario'!A:P,16,0),0)</f>
        <v>0</v>
      </c>
      <c r="L153" s="47">
        <f>IFERROR(VLOOKUP(B153,'Campo dei Fiori'!A:P,16,0),0)</f>
        <v>0</v>
      </c>
      <c r="M153" s="47">
        <f>IFERROR(VLOOKUP(B153,'Erba Ghisallo'!A:P,16,0),0)</f>
        <v>0</v>
      </c>
      <c r="N153" s="47">
        <f>IFERROR(VLOOKUP(B153,Ambrosiano!A:Q,16,0),0)</f>
        <v>0</v>
      </c>
      <c r="O153" s="47">
        <f>IFERROR(VLOOKUP(B153,Presolana!A:Q,16,0),0)</f>
        <v>0</v>
      </c>
      <c r="P153" s="4"/>
      <c r="Q153" s="60">
        <f t="shared" si="16"/>
        <v>2.4711499999999997</v>
      </c>
      <c r="S153" s="56">
        <f t="shared" si="17"/>
        <v>2</v>
      </c>
      <c r="T153" s="57">
        <f>VLOOKUP(S153,Regolamento!G$6:I$14,3,0)</f>
        <v>1.05</v>
      </c>
      <c r="V153" s="60">
        <f t="shared" si="15"/>
        <v>2.5947074999999997</v>
      </c>
      <c r="X153" s="10"/>
      <c r="Z153" s="119"/>
    </row>
    <row r="154" spans="1:26" x14ac:dyDescent="0.25">
      <c r="A154">
        <v>149</v>
      </c>
      <c r="B154" s="112" t="s">
        <v>498</v>
      </c>
      <c r="C154" s="76" t="str">
        <f>IFERROR(VLOOKUP(B154,concorrenti!A:C,3,0)," ")</f>
        <v>C</v>
      </c>
      <c r="D154" s="76">
        <f>VLOOKUP(B154,concorrenti!A:E,5,0)</f>
        <v>0</v>
      </c>
      <c r="E154" s="76">
        <f>VLOOKUP(B154,concorrenti!A:G,7,0)</f>
        <v>0</v>
      </c>
      <c r="F154" s="76" t="str">
        <f>VLOOKUP(B154,concorrenti!A$1:G$289,2,0)</f>
        <v>VCC COMO</v>
      </c>
      <c r="G154" s="114">
        <f>IFERROR(VLOOKUP(B154,'Nora Sciplino'!A$12:P$68,16,0),0)</f>
        <v>0</v>
      </c>
      <c r="H154" s="114">
        <f>IFERROR(VLOOKUP(B154,Castellotti!A$12:P$66,16,0),0)</f>
        <v>0</v>
      </c>
      <c r="I154" s="115">
        <f>IFERROR(VLOOKUP(B154,Solidarietà!A:P,16,0),0)</f>
        <v>0</v>
      </c>
      <c r="J154" s="114">
        <f>IFERROR(VLOOKUP(B154,Gallarate!A:P,16,0),0)</f>
        <v>0</v>
      </c>
      <c r="K154" s="125">
        <f>IFERROR(VLOOKUP(B154,'Giro del Lario'!A:P,16,0),0)</f>
        <v>0</v>
      </c>
      <c r="L154" s="114">
        <f>IFERROR(VLOOKUP(B154,'Campo dei Fiori'!A:P,16,0),0)</f>
        <v>0</v>
      </c>
      <c r="M154" s="111">
        <f>IFERROR(VLOOKUP(B154,'Erba Ghisallo'!A:P,16,0),0)</f>
        <v>2.3519999999999999</v>
      </c>
      <c r="N154" s="114">
        <f>IFERROR(VLOOKUP(B154,Ambrosiano!A:Q,16,0),0)</f>
        <v>0</v>
      </c>
      <c r="O154" s="47">
        <f>IFERROR(VLOOKUP(B154,Presolana!A:Q,16,0),0)</f>
        <v>0</v>
      </c>
      <c r="P154" s="4"/>
      <c r="Q154" s="60">
        <f t="shared" si="16"/>
        <v>2.3519999999999999</v>
      </c>
      <c r="R154" s="2"/>
      <c r="S154" s="56">
        <f t="shared" si="17"/>
        <v>1</v>
      </c>
      <c r="T154" s="57">
        <f>VLOOKUP(S154,Regolamento!G$6:I$14,3,0)</f>
        <v>1</v>
      </c>
      <c r="U154" s="2"/>
      <c r="V154" s="60">
        <f t="shared" si="15"/>
        <v>2.3519999999999999</v>
      </c>
      <c r="Y154"/>
    </row>
    <row r="155" spans="1:26" x14ac:dyDescent="0.25">
      <c r="A155">
        <v>150</v>
      </c>
      <c r="B155" s="112" t="s">
        <v>378</v>
      </c>
      <c r="C155" s="113" t="str">
        <f>IFERROR(VLOOKUP(B155,concorrenti!A:C,3,0)," ")</f>
        <v>C</v>
      </c>
      <c r="D155" s="113">
        <f>VLOOKUP(B155,concorrenti!A:E,5,0)</f>
        <v>0</v>
      </c>
      <c r="E155" s="113">
        <f>VLOOKUP(B155,concorrenti!A:G,7,0)</f>
        <v>0</v>
      </c>
      <c r="F155" s="113" t="str">
        <f>VLOOKUP(B155,concorrenti!A$1:G$289,2,0)</f>
        <v>GAMS</v>
      </c>
      <c r="G155" s="114">
        <f>IFERROR(VLOOKUP(B155,'Nora Sciplino'!A$12:P$68,16,0),0)</f>
        <v>0</v>
      </c>
      <c r="H155" s="114">
        <f>IFERROR(VLOOKUP(B155,Castellotti!A$12:P$66,16,0),0)</f>
        <v>0</v>
      </c>
      <c r="I155" s="115">
        <f>IFERROR(VLOOKUP(B155,Solidarietà!A:P,16,0),0)</f>
        <v>0</v>
      </c>
      <c r="J155" s="114">
        <f>IFERROR(VLOOKUP(B155,Gallarate!A:P,16,0),0)</f>
        <v>2.1867999999999999</v>
      </c>
      <c r="K155" s="125">
        <f>IFERROR(VLOOKUP(B155,'Giro del Lario'!A:P,16,0),0)</f>
        <v>0</v>
      </c>
      <c r="L155" s="114">
        <f>IFERROR(VLOOKUP(B155,'Campo dei Fiori'!A:P,16,0),0)</f>
        <v>0</v>
      </c>
      <c r="M155" s="114">
        <f>IFERROR(VLOOKUP(B155,'Erba Ghisallo'!A:P,16,0),0)</f>
        <v>0</v>
      </c>
      <c r="N155" s="114">
        <f>IFERROR(VLOOKUP(B155,Ambrosiano!A:Q,16,0),0)</f>
        <v>0</v>
      </c>
      <c r="O155" s="47">
        <f>IFERROR(VLOOKUP(B155,Presolana!A:Q,16,0),0)</f>
        <v>0</v>
      </c>
      <c r="P155" s="4"/>
      <c r="Q155" s="60">
        <f t="shared" si="16"/>
        <v>2.1867999999999999</v>
      </c>
      <c r="R155" s="2"/>
      <c r="S155" s="56">
        <f t="shared" si="17"/>
        <v>1</v>
      </c>
      <c r="T155" s="57">
        <f>VLOOKUP(S155,Regolamento!G$6:I$14,3,0)</f>
        <v>1</v>
      </c>
      <c r="U155" s="2"/>
      <c r="V155" s="117">
        <f t="shared" si="15"/>
        <v>2.1867999999999999</v>
      </c>
      <c r="Y155"/>
    </row>
    <row r="156" spans="1:26" x14ac:dyDescent="0.25">
      <c r="A156">
        <v>151</v>
      </c>
      <c r="B156" t="s">
        <v>201</v>
      </c>
      <c r="C156" s="12" t="str">
        <f>IFERROR(VLOOKUP(B156,concorrenti!A:C,3,0)," ")</f>
        <v>C</v>
      </c>
      <c r="D156" s="12">
        <f>VLOOKUP(B156,concorrenti!A:E,5,0)</f>
        <v>0</v>
      </c>
      <c r="E156" s="12">
        <f>VLOOKUP(B156,concorrenti!A:G,7,0)</f>
        <v>0</v>
      </c>
      <c r="F156" s="12" t="str">
        <f>VLOOKUP(B156,concorrenti!A$1:G$289,2,0)</f>
        <v>CASTELLOTTI</v>
      </c>
      <c r="G156" s="47">
        <f>IFERROR(VLOOKUP(B156,'Nora Sciplino'!A$12:P$68,16,0),0)</f>
        <v>0</v>
      </c>
      <c r="H156" s="47">
        <f>IFERROR(VLOOKUP(B156,Castellotti!A$12:P$66,16,0),0)</f>
        <v>1.5674999999999999</v>
      </c>
      <c r="I156" s="75">
        <f>IFERROR(VLOOKUP(B156,Solidarietà!A:P,16,0),0)</f>
        <v>0</v>
      </c>
      <c r="J156" s="104">
        <f t="shared" ref="J156:J172" si="18">SUM(G156:I156)/3*J$5</f>
        <v>0.41193899999999994</v>
      </c>
      <c r="K156" s="57">
        <f>IFERROR(VLOOKUP(B156,'Giro del Lario'!A:P,16,0),0)</f>
        <v>0</v>
      </c>
      <c r="L156" s="47">
        <f>IFERROR(VLOOKUP(B156,'Campo dei Fiori'!A:P,16,0),0)</f>
        <v>0</v>
      </c>
      <c r="M156" s="47">
        <f>IFERROR(VLOOKUP(B156,'Erba Ghisallo'!A:P,16,0),0)</f>
        <v>0</v>
      </c>
      <c r="N156" s="47">
        <f>IFERROR(VLOOKUP(B156,Ambrosiano!A:Q,16,0),0)</f>
        <v>0</v>
      </c>
      <c r="O156" s="47">
        <f>IFERROR(VLOOKUP(B156,Presolana!A:Q,16,0),0)</f>
        <v>0</v>
      </c>
      <c r="Q156" s="60">
        <f t="shared" si="16"/>
        <v>1.9794389999999997</v>
      </c>
      <c r="S156" s="56">
        <f t="shared" ref="S156:S172" si="19">COUNTIF(G156:O156,"&lt;&gt;0")-1</f>
        <v>1</v>
      </c>
      <c r="T156" s="57">
        <f>VLOOKUP(S156,Regolamento!G$6:I$14,3,0)</f>
        <v>1</v>
      </c>
      <c r="V156" s="60">
        <f t="shared" si="15"/>
        <v>1.9794389999999997</v>
      </c>
      <c r="X156" s="10"/>
      <c r="Z156" s="119"/>
    </row>
    <row r="157" spans="1:26" x14ac:dyDescent="0.25">
      <c r="A157">
        <v>152</v>
      </c>
      <c r="B157" s="107" t="s">
        <v>193</v>
      </c>
      <c r="C157" s="108" t="str">
        <f>IFERROR(VLOOKUP(B157,concorrenti!A:C,3,0)," ")</f>
        <v>C</v>
      </c>
      <c r="D157" s="108" t="str">
        <f>VLOOKUP(B157,concorrenti!A:E,5,0)</f>
        <v>X</v>
      </c>
      <c r="E157" s="108">
        <f>VLOOKUP(B157,concorrenti!A:G,7,0)</f>
        <v>0</v>
      </c>
      <c r="F157" s="108" t="str">
        <f>VLOOKUP(B157,concorrenti!A$1:G$289,2,0)</f>
        <v>CASTELLOTTI</v>
      </c>
      <c r="G157" s="109">
        <f>IFERROR(VLOOKUP(B157,'Nora Sciplino'!A$12:P$68,16,0),0)</f>
        <v>0</v>
      </c>
      <c r="H157" s="109">
        <f>IFERROR(VLOOKUP(B157,Castellotti!A$12:P$66,16,0),0)</f>
        <v>1.5674999999999999</v>
      </c>
      <c r="I157" s="110">
        <f>IFERROR(VLOOKUP(B157,Solidarietà!A:P,16,0),0)</f>
        <v>0</v>
      </c>
      <c r="J157" s="104">
        <f t="shared" si="18"/>
        <v>0.41193899999999994</v>
      </c>
      <c r="K157" s="124">
        <f>IFERROR(VLOOKUP(B157,'Giro del Lario'!A:P,16,0),0)</f>
        <v>0</v>
      </c>
      <c r="L157" s="109">
        <f>IFERROR(VLOOKUP(B157,'Campo dei Fiori'!A:P,16,0),0)</f>
        <v>0</v>
      </c>
      <c r="M157" s="109">
        <f>IFERROR(VLOOKUP(B157,'Erba Ghisallo'!A:P,16,0),0)</f>
        <v>0</v>
      </c>
      <c r="N157" s="109">
        <f>IFERROR(VLOOKUP(B157,Ambrosiano!A:Q,16,0),0)</f>
        <v>0</v>
      </c>
      <c r="O157" s="47">
        <f>IFERROR(VLOOKUP(B157,Presolana!A:Q,16,0),0)</f>
        <v>0</v>
      </c>
      <c r="P157" s="4"/>
      <c r="Q157" s="60">
        <f t="shared" si="16"/>
        <v>1.9794389999999997</v>
      </c>
      <c r="S157" s="56">
        <f t="shared" si="19"/>
        <v>1</v>
      </c>
      <c r="T157" s="57">
        <f>VLOOKUP(S157,Regolamento!G$6:I$14,3,0)</f>
        <v>1</v>
      </c>
      <c r="V157" s="118">
        <f t="shared" si="15"/>
        <v>1.9794389999999997</v>
      </c>
      <c r="X157" s="10"/>
      <c r="Z157" s="119"/>
    </row>
    <row r="158" spans="1:26" x14ac:dyDescent="0.25">
      <c r="A158">
        <v>153</v>
      </c>
      <c r="B158" t="s">
        <v>196</v>
      </c>
      <c r="C158" s="12" t="str">
        <f>IFERROR(VLOOKUP(B158,concorrenti!A:C,3,0)," ")</f>
        <v>C</v>
      </c>
      <c r="D158" s="12">
        <f>VLOOKUP(B158,concorrenti!A:E,5,0)</f>
        <v>0</v>
      </c>
      <c r="E158" s="12">
        <f>VLOOKUP(B158,concorrenti!A:G,7,0)</f>
        <v>0</v>
      </c>
      <c r="F158" s="12" t="str">
        <f>VLOOKUP(B158,concorrenti!A$1:G$289,2,0)</f>
        <v>CASTELLOTTI</v>
      </c>
      <c r="G158" s="47">
        <f>IFERROR(VLOOKUP(B158,'Nora Sciplino'!A$12:P$68,16,0),0)</f>
        <v>0</v>
      </c>
      <c r="H158" s="47">
        <f>IFERROR(VLOOKUP(B158,Castellotti!A$12:P$66,16,0),0)</f>
        <v>1.5674999999999999</v>
      </c>
      <c r="I158" s="75">
        <f>IFERROR(VLOOKUP(B158,Solidarietà!A:P,16,0),0)</f>
        <v>0</v>
      </c>
      <c r="J158" s="104">
        <f t="shared" si="18"/>
        <v>0.41193899999999994</v>
      </c>
      <c r="K158" s="57">
        <f>IFERROR(VLOOKUP(B158,'Giro del Lario'!A:P,16,0),0)</f>
        <v>0</v>
      </c>
      <c r="L158" s="47">
        <f>IFERROR(VLOOKUP(B158,'Campo dei Fiori'!A:P,16,0),0)</f>
        <v>0</v>
      </c>
      <c r="M158" s="47">
        <f>IFERROR(VLOOKUP(B158,'Erba Ghisallo'!A:P,16,0),0)</f>
        <v>0</v>
      </c>
      <c r="N158" s="47">
        <f>IFERROR(VLOOKUP(B158,Ambrosiano!A:Q,16,0),0)</f>
        <v>0</v>
      </c>
      <c r="O158" s="47">
        <f>IFERROR(VLOOKUP(B158,Presolana!A:Q,16,0),0)</f>
        <v>0</v>
      </c>
      <c r="P158" s="4"/>
      <c r="Q158" s="60">
        <f t="shared" si="16"/>
        <v>1.9794389999999997</v>
      </c>
      <c r="S158" s="56">
        <f t="shared" si="19"/>
        <v>1</v>
      </c>
      <c r="T158" s="57">
        <f>VLOOKUP(S158,Regolamento!G$6:I$14,3,0)</f>
        <v>1</v>
      </c>
      <c r="V158" s="60">
        <f t="shared" si="15"/>
        <v>1.9794389999999997</v>
      </c>
      <c r="X158" s="10"/>
      <c r="Z158" s="119"/>
    </row>
    <row r="159" spans="1:26" x14ac:dyDescent="0.25">
      <c r="A159">
        <v>154</v>
      </c>
      <c r="B159" s="107" t="s">
        <v>200</v>
      </c>
      <c r="C159" s="108" t="str">
        <f>IFERROR(VLOOKUP(B159,concorrenti!A:C,3,0)," ")</f>
        <v>C</v>
      </c>
      <c r="D159" s="108" t="str">
        <f>VLOOKUP(B159,concorrenti!A:E,5,0)</f>
        <v>X</v>
      </c>
      <c r="E159" s="108">
        <f>VLOOKUP(B159,concorrenti!A:G,7,0)</f>
        <v>0</v>
      </c>
      <c r="F159" s="108" t="str">
        <f>VLOOKUP(B159,concorrenti!A$1:G$289,2,0)</f>
        <v>CASTELLOTTI</v>
      </c>
      <c r="G159" s="109">
        <f>IFERROR(VLOOKUP(B159,'Nora Sciplino'!A$12:P$68,16,0),0)</f>
        <v>0</v>
      </c>
      <c r="H159" s="109">
        <f>IFERROR(VLOOKUP(B159,Castellotti!A$12:P$66,16,0),0)</f>
        <v>1.5674999999999999</v>
      </c>
      <c r="I159" s="110">
        <f>IFERROR(VLOOKUP(B159,Solidarietà!A:P,16,0),0)</f>
        <v>0</v>
      </c>
      <c r="J159" s="104">
        <f t="shared" si="18"/>
        <v>0.41193899999999994</v>
      </c>
      <c r="K159" s="124">
        <f>IFERROR(VLOOKUP(B159,'Giro del Lario'!A:P,16,0),0)</f>
        <v>0</v>
      </c>
      <c r="L159" s="109">
        <f>IFERROR(VLOOKUP(B159,'Campo dei Fiori'!A:P,16,0),0)</f>
        <v>0</v>
      </c>
      <c r="M159" s="109">
        <f>IFERROR(VLOOKUP(B159,'Erba Ghisallo'!A:P,16,0),0)</f>
        <v>0</v>
      </c>
      <c r="N159" s="109">
        <f>IFERROR(VLOOKUP(B159,Ambrosiano!A:Q,16,0),0)</f>
        <v>0</v>
      </c>
      <c r="O159" s="47">
        <f>IFERROR(VLOOKUP(B159,Presolana!A:Q,16,0),0)</f>
        <v>0</v>
      </c>
      <c r="P159" s="4"/>
      <c r="Q159" s="60">
        <f t="shared" si="16"/>
        <v>1.9794389999999997</v>
      </c>
      <c r="S159" s="56">
        <f t="shared" si="19"/>
        <v>1</v>
      </c>
      <c r="T159" s="57">
        <f>VLOOKUP(S159,Regolamento!G$6:I$14,3,0)</f>
        <v>1</v>
      </c>
      <c r="V159" s="118">
        <f t="shared" si="15"/>
        <v>1.9794389999999997</v>
      </c>
      <c r="X159" s="10"/>
      <c r="Z159" s="119"/>
    </row>
    <row r="160" spans="1:26" x14ac:dyDescent="0.25">
      <c r="A160">
        <v>155</v>
      </c>
      <c r="B160" t="s">
        <v>199</v>
      </c>
      <c r="C160" s="12" t="str">
        <f>IFERROR(VLOOKUP(B160,concorrenti!A:C,3,0)," ")</f>
        <v>C</v>
      </c>
      <c r="D160" s="12">
        <f>VLOOKUP(B160,concorrenti!A:E,5,0)</f>
        <v>0</v>
      </c>
      <c r="E160" s="12">
        <f>VLOOKUP(B160,concorrenti!A:G,7,0)</f>
        <v>0</v>
      </c>
      <c r="F160" s="12" t="str">
        <f>VLOOKUP(B160,concorrenti!A$1:G$289,2,0)</f>
        <v>CASTELLOTTI</v>
      </c>
      <c r="G160" s="47">
        <f>IFERROR(VLOOKUP(B160,'Nora Sciplino'!A$12:P$68,16,0),0)</f>
        <v>0</v>
      </c>
      <c r="H160" s="47">
        <f>IFERROR(VLOOKUP(B160,Castellotti!A$12:P$66,16,0),0)</f>
        <v>1.5674999999999999</v>
      </c>
      <c r="I160" s="75">
        <f>IFERROR(VLOOKUP(B160,Solidarietà!A:P,16,0),0)</f>
        <v>0</v>
      </c>
      <c r="J160" s="104">
        <f t="shared" si="18"/>
        <v>0.41193899999999994</v>
      </c>
      <c r="K160" s="57">
        <f>IFERROR(VLOOKUP(B160,'Giro del Lario'!A:P,16,0),0)</f>
        <v>0</v>
      </c>
      <c r="L160" s="47">
        <f>IFERROR(VLOOKUP(B160,'Campo dei Fiori'!A:P,16,0),0)</f>
        <v>0</v>
      </c>
      <c r="M160" s="47">
        <f>IFERROR(VLOOKUP(B160,'Erba Ghisallo'!A:P,16,0),0)</f>
        <v>0</v>
      </c>
      <c r="N160" s="47">
        <f>IFERROR(VLOOKUP(B160,Ambrosiano!A:Q,16,0),0)</f>
        <v>0</v>
      </c>
      <c r="O160" s="47">
        <f>IFERROR(VLOOKUP(B160,Presolana!A:Q,16,0),0)</f>
        <v>0</v>
      </c>
      <c r="Q160" s="60">
        <f t="shared" si="16"/>
        <v>1.9794389999999997</v>
      </c>
      <c r="S160" s="56">
        <f t="shared" si="19"/>
        <v>1</v>
      </c>
      <c r="T160" s="57">
        <f>VLOOKUP(S160,Regolamento!G$6:I$14,3,0)</f>
        <v>1</v>
      </c>
      <c r="V160" s="60">
        <f t="shared" si="15"/>
        <v>1.9794389999999997</v>
      </c>
      <c r="X160" s="10"/>
      <c r="Z160" s="119"/>
    </row>
    <row r="161" spans="1:26" x14ac:dyDescent="0.25">
      <c r="A161">
        <v>156</v>
      </c>
      <c r="B161" t="s">
        <v>206</v>
      </c>
      <c r="C161" s="12" t="str">
        <f>IFERROR(VLOOKUP(B161,concorrenti!A:C,3,0)," ")</f>
        <v>C</v>
      </c>
      <c r="D161" s="12">
        <f>VLOOKUP(B161,concorrenti!A:E,5,0)</f>
        <v>0</v>
      </c>
      <c r="E161" s="12">
        <f>VLOOKUP(B161,concorrenti!A:G,7,0)</f>
        <v>0</v>
      </c>
      <c r="F161" s="12" t="str">
        <f>VLOOKUP(B161,concorrenti!A$1:G$289,2,0)</f>
        <v>CASTELLOTTI</v>
      </c>
      <c r="G161" s="47">
        <f>IFERROR(VLOOKUP(B161,'Nora Sciplino'!A$12:P$68,16,0),0)</f>
        <v>0</v>
      </c>
      <c r="H161" s="47">
        <f>IFERROR(VLOOKUP(B161,Castellotti!A$12:P$66,16,0),0)</f>
        <v>1.5674999999999999</v>
      </c>
      <c r="I161" s="75">
        <f>IFERROR(VLOOKUP(B161,Solidarietà!A:P,16,0),0)</f>
        <v>0</v>
      </c>
      <c r="J161" s="104">
        <f t="shared" si="18"/>
        <v>0.41193899999999994</v>
      </c>
      <c r="K161" s="57">
        <f>IFERROR(VLOOKUP(B161,'Giro del Lario'!A:P,16,0),0)</f>
        <v>0</v>
      </c>
      <c r="L161" s="47">
        <f>IFERROR(VLOOKUP(B161,'Campo dei Fiori'!A:P,16,0),0)</f>
        <v>0</v>
      </c>
      <c r="M161" s="47">
        <f>IFERROR(VLOOKUP(B161,'Erba Ghisallo'!A:P,16,0),0)</f>
        <v>0</v>
      </c>
      <c r="N161" s="47">
        <f>IFERROR(VLOOKUP(B161,Ambrosiano!A:Q,16,0),0)</f>
        <v>0</v>
      </c>
      <c r="O161" s="47">
        <f>IFERROR(VLOOKUP(B161,Presolana!A:Q,16,0),0)</f>
        <v>0</v>
      </c>
      <c r="Q161" s="60">
        <f t="shared" si="16"/>
        <v>1.9794389999999997</v>
      </c>
      <c r="S161" s="56">
        <f t="shared" si="19"/>
        <v>1</v>
      </c>
      <c r="T161" s="57">
        <f>VLOOKUP(S161,Regolamento!G$6:I$14,3,0)</f>
        <v>1</v>
      </c>
      <c r="V161" s="60">
        <f t="shared" si="15"/>
        <v>1.9794389999999997</v>
      </c>
      <c r="X161" s="10"/>
      <c r="Z161" s="119"/>
    </row>
    <row r="162" spans="1:26" x14ac:dyDescent="0.25">
      <c r="A162">
        <v>157</v>
      </c>
      <c r="B162" t="s">
        <v>203</v>
      </c>
      <c r="C162" s="12" t="str">
        <f>IFERROR(VLOOKUP(B162,concorrenti!A:C,3,0)," ")</f>
        <v>C</v>
      </c>
      <c r="D162" s="12">
        <f>VLOOKUP(B162,concorrenti!A:E,5,0)</f>
        <v>0</v>
      </c>
      <c r="E162" s="12">
        <f>VLOOKUP(B162,concorrenti!A:G,7,0)</f>
        <v>0</v>
      </c>
      <c r="F162" s="12" t="str">
        <f>VLOOKUP(B162,concorrenti!A$1:G$289,2,0)</f>
        <v>CASTELLOTTI</v>
      </c>
      <c r="G162" s="47">
        <f>IFERROR(VLOOKUP(B162,'Nora Sciplino'!A$12:P$68,16,0),0)</f>
        <v>0</v>
      </c>
      <c r="H162" s="47">
        <f>IFERROR(VLOOKUP(B162,Castellotti!A$12:P$66,16,0),0)</f>
        <v>1.5674999999999999</v>
      </c>
      <c r="I162" s="75">
        <f>IFERROR(VLOOKUP(B162,Solidarietà!A:P,16,0),0)</f>
        <v>0</v>
      </c>
      <c r="J162" s="104">
        <f t="shared" si="18"/>
        <v>0.41193899999999994</v>
      </c>
      <c r="K162" s="57">
        <f>IFERROR(VLOOKUP(B162,'Giro del Lario'!A:P,16,0),0)</f>
        <v>0</v>
      </c>
      <c r="L162" s="47">
        <f>IFERROR(VLOOKUP(B162,'Campo dei Fiori'!A:P,16,0),0)</f>
        <v>0</v>
      </c>
      <c r="M162" s="47">
        <f>IFERROR(VLOOKUP(B162,'Erba Ghisallo'!A:P,16,0),0)</f>
        <v>0</v>
      </c>
      <c r="N162" s="47">
        <f>IFERROR(VLOOKUP(B162,Ambrosiano!A:Q,16,0),0)</f>
        <v>0</v>
      </c>
      <c r="O162" s="47">
        <f>IFERROR(VLOOKUP(B162,Presolana!A:Q,16,0),0)</f>
        <v>0</v>
      </c>
      <c r="P162" s="4"/>
      <c r="Q162" s="60">
        <f t="shared" si="16"/>
        <v>1.9794389999999997</v>
      </c>
      <c r="S162" s="56">
        <f t="shared" si="19"/>
        <v>1</v>
      </c>
      <c r="T162" s="57">
        <f>VLOOKUP(S162,Regolamento!G$6:I$14,3,0)</f>
        <v>1</v>
      </c>
      <c r="V162" s="60">
        <f t="shared" si="15"/>
        <v>1.9794389999999997</v>
      </c>
      <c r="Y162"/>
    </row>
    <row r="163" spans="1:26" x14ac:dyDescent="0.25">
      <c r="A163">
        <v>158</v>
      </c>
      <c r="B163" t="s">
        <v>205</v>
      </c>
      <c r="C163" s="12" t="str">
        <f>IFERROR(VLOOKUP(B163,concorrenti!A:C,3,0)," ")</f>
        <v>C</v>
      </c>
      <c r="D163" s="12">
        <f>VLOOKUP(B163,concorrenti!A:E,5,0)</f>
        <v>0</v>
      </c>
      <c r="E163" s="12">
        <f>VLOOKUP(B163,concorrenti!A:G,7,0)</f>
        <v>0</v>
      </c>
      <c r="F163" s="12" t="str">
        <f>VLOOKUP(B163,concorrenti!A$1:G$289,2,0)</f>
        <v>CASTELLOTTI</v>
      </c>
      <c r="G163" s="47">
        <f>IFERROR(VLOOKUP(B163,'Nora Sciplino'!A$12:P$68,16,0),0)</f>
        <v>0</v>
      </c>
      <c r="H163" s="47">
        <f>IFERROR(VLOOKUP(B163,Castellotti!A$12:P$66,16,0),0)</f>
        <v>1.5674999999999999</v>
      </c>
      <c r="I163" s="75">
        <f>IFERROR(VLOOKUP(B163,Solidarietà!A:P,16,0),0)</f>
        <v>0</v>
      </c>
      <c r="J163" s="104">
        <f t="shared" si="18"/>
        <v>0.41193899999999994</v>
      </c>
      <c r="K163" s="57">
        <f>IFERROR(VLOOKUP(B163,'Giro del Lario'!A:P,16,0),0)</f>
        <v>0</v>
      </c>
      <c r="L163" s="47">
        <f>IFERROR(VLOOKUP(B163,'Campo dei Fiori'!A:P,16,0),0)</f>
        <v>0</v>
      </c>
      <c r="M163" s="47">
        <f>IFERROR(VLOOKUP(B163,'Erba Ghisallo'!A:P,16,0),0)</f>
        <v>0</v>
      </c>
      <c r="N163" s="47">
        <f>IFERROR(VLOOKUP(B163,Ambrosiano!A:Q,16,0),0)</f>
        <v>0</v>
      </c>
      <c r="O163" s="47">
        <f>IFERROR(VLOOKUP(B163,Presolana!A:Q,16,0),0)</f>
        <v>0</v>
      </c>
      <c r="Q163" s="60">
        <f t="shared" si="16"/>
        <v>1.9794389999999997</v>
      </c>
      <c r="S163" s="56">
        <f t="shared" si="19"/>
        <v>1</v>
      </c>
      <c r="T163" s="57">
        <f>VLOOKUP(S163,Regolamento!G$6:I$14,3,0)</f>
        <v>1</v>
      </c>
      <c r="V163" s="60">
        <f t="shared" si="15"/>
        <v>1.9794389999999997</v>
      </c>
      <c r="Y163"/>
    </row>
    <row r="164" spans="1:26" x14ac:dyDescent="0.25">
      <c r="A164">
        <v>159</v>
      </c>
      <c r="B164" t="s">
        <v>216</v>
      </c>
      <c r="C164" s="12" t="str">
        <f>IFERROR(VLOOKUP(B164,concorrenti!A:C,3,0)," ")</f>
        <v>C</v>
      </c>
      <c r="D164" s="12">
        <f>VLOOKUP(B164,concorrenti!A:E,5,0)</f>
        <v>0</v>
      </c>
      <c r="E164" s="12">
        <f>VLOOKUP(B164,concorrenti!A:G,7,0)</f>
        <v>0</v>
      </c>
      <c r="F164" s="12" t="str">
        <f>VLOOKUP(B164,concorrenti!A$1:G$289,2,0)</f>
        <v>CLASSIC CLUB ITALIA</v>
      </c>
      <c r="G164" s="47">
        <f>IFERROR(VLOOKUP(B164,'Nora Sciplino'!A$12:P$68,16,0),0)</f>
        <v>0</v>
      </c>
      <c r="H164" s="47">
        <f>IFERROR(VLOOKUP(B164,Castellotti!A$12:P$67,16,0),0)</f>
        <v>1.5674999999999999</v>
      </c>
      <c r="I164" s="75">
        <f>IFERROR(VLOOKUP(B164,Solidarietà!A:P,16,0),0)</f>
        <v>0</v>
      </c>
      <c r="J164" s="104">
        <f t="shared" si="18"/>
        <v>0.41193899999999994</v>
      </c>
      <c r="K164" s="57">
        <f>IFERROR(VLOOKUP(B164,'Giro del Lario'!A:P,16,0),0)</f>
        <v>0</v>
      </c>
      <c r="L164" s="47">
        <f>IFERROR(VLOOKUP(B164,'Campo dei Fiori'!A:P,16,0),0)</f>
        <v>0</v>
      </c>
      <c r="M164" s="47">
        <f>IFERROR(VLOOKUP(B164,'Erba Ghisallo'!A:P,16,0),0)</f>
        <v>0</v>
      </c>
      <c r="N164" s="47">
        <f>IFERROR(VLOOKUP(B164,Ambrosiano!A:Q,16,0),0)</f>
        <v>0</v>
      </c>
      <c r="O164" s="47">
        <f>IFERROR(VLOOKUP(B164,Presolana!A:Q,16,0),0)</f>
        <v>0</v>
      </c>
      <c r="Q164" s="60">
        <f t="shared" si="16"/>
        <v>1.9794389999999997</v>
      </c>
      <c r="S164" s="56">
        <f t="shared" si="19"/>
        <v>1</v>
      </c>
      <c r="T164" s="57">
        <f>VLOOKUP(S164,Regolamento!G$6:I$14,3,0)</f>
        <v>1</v>
      </c>
      <c r="V164" s="60">
        <f t="shared" si="15"/>
        <v>1.9794389999999997</v>
      </c>
      <c r="Y164"/>
    </row>
    <row r="165" spans="1:26" x14ac:dyDescent="0.25">
      <c r="A165">
        <v>160</v>
      </c>
      <c r="B165" s="112" t="s">
        <v>85</v>
      </c>
      <c r="C165" s="113" t="str">
        <f>IFERROR(VLOOKUP(B165,concorrenti!A:C,3,0)," ")</f>
        <v>C</v>
      </c>
      <c r="D165" s="113">
        <f>VLOOKUP(B165,concorrenti!A:E,5,0)</f>
        <v>0</v>
      </c>
      <c r="E165" s="113" t="str">
        <f>VLOOKUP(B165,concorrenti!A:G,7,0)</f>
        <v>MECCANICO</v>
      </c>
      <c r="F165" s="113" t="str">
        <f>VLOOKUP(B165,concorrenti!A$1:G$289,2,0)</f>
        <v>VAMS</v>
      </c>
      <c r="G165" s="114">
        <f>IFERROR(VLOOKUP(B165,'Nora Sciplino'!A$12:P$68,16,0),0)</f>
        <v>1.3777499999999998</v>
      </c>
      <c r="H165" s="114">
        <f>IFERROR(VLOOKUP(B165,Castellotti!A$12:P$66,16,0),0)</f>
        <v>0</v>
      </c>
      <c r="I165" s="115">
        <f>IFERROR(VLOOKUP(B165,Solidarietà!A:P,16,0),0)</f>
        <v>0</v>
      </c>
      <c r="J165" s="104">
        <f t="shared" si="18"/>
        <v>0.36207269999999997</v>
      </c>
      <c r="K165" s="125">
        <f>IFERROR(VLOOKUP(B165,'Giro del Lario'!A:P,16,0),0)</f>
        <v>0</v>
      </c>
      <c r="L165" s="114">
        <f>IFERROR(VLOOKUP(B165,'Campo dei Fiori'!A:P,16,0),0)</f>
        <v>0</v>
      </c>
      <c r="M165" s="114">
        <f>IFERROR(VLOOKUP(B165,'Erba Ghisallo'!A:P,16,0),0)</f>
        <v>0</v>
      </c>
      <c r="N165" s="114">
        <f>IFERROR(VLOOKUP(B165,Ambrosiano!A:Q,16,0),0)</f>
        <v>0</v>
      </c>
      <c r="O165" s="47">
        <f>IFERROR(VLOOKUP(B165,Presolana!A:Q,16,0),0)</f>
        <v>0</v>
      </c>
      <c r="P165" s="4"/>
      <c r="Q165" s="60">
        <f t="shared" si="16"/>
        <v>1.7398226999999997</v>
      </c>
      <c r="R165" s="2"/>
      <c r="S165" s="56">
        <f t="shared" si="19"/>
        <v>1</v>
      </c>
      <c r="T165" s="57">
        <f>VLOOKUP(S165,Regolamento!G$6:I$14,3,0)</f>
        <v>1</v>
      </c>
      <c r="U165" s="2"/>
      <c r="V165" s="117">
        <f t="shared" si="15"/>
        <v>1.7398226999999997</v>
      </c>
      <c r="Y165"/>
    </row>
    <row r="166" spans="1:26" x14ac:dyDescent="0.25">
      <c r="A166">
        <v>161</v>
      </c>
      <c r="B166" s="8" t="s">
        <v>41</v>
      </c>
      <c r="C166" s="12" t="str">
        <f>IFERROR(VLOOKUP(B166,concorrenti!A:C,3,0)," ")</f>
        <v>C</v>
      </c>
      <c r="D166" s="12">
        <f>VLOOKUP(B166,concorrenti!A:E,5,0)</f>
        <v>0</v>
      </c>
      <c r="E166" s="12">
        <f>VLOOKUP(B166,concorrenti!A:G,7,0)</f>
        <v>0</v>
      </c>
      <c r="F166" s="12" t="str">
        <f>VLOOKUP(B166,concorrenti!A$1:G$289,2,0)</f>
        <v>VALTELLINA</v>
      </c>
      <c r="G166" s="47">
        <f>IFERROR(VLOOKUP(B166,'Nora Sciplino'!A$12:P$68,16,0),0)</f>
        <v>1.3777499999999998</v>
      </c>
      <c r="H166" s="47">
        <f>IFERROR(VLOOKUP(B166,Castellotti!A$12:P$66,16,0),0)</f>
        <v>0</v>
      </c>
      <c r="I166" s="75">
        <f>IFERROR(VLOOKUP(B166,Solidarietà!A:P,16,0),0)</f>
        <v>0</v>
      </c>
      <c r="J166" s="104">
        <f t="shared" si="18"/>
        <v>0.36207269999999997</v>
      </c>
      <c r="K166" s="57">
        <f>IFERROR(VLOOKUP(B166,'Giro del Lario'!A:P,16,0),0)</f>
        <v>0</v>
      </c>
      <c r="L166" s="47">
        <f>IFERROR(VLOOKUP(B166,'Campo dei Fiori'!A:P,16,0),0)</f>
        <v>0</v>
      </c>
      <c r="M166" s="47">
        <f>IFERROR(VLOOKUP(B166,'Erba Ghisallo'!A:P,16,0),0)</f>
        <v>0</v>
      </c>
      <c r="N166" s="47">
        <f>IFERROR(VLOOKUP(B166,Ambrosiano!A:Q,16,0),0)</f>
        <v>0</v>
      </c>
      <c r="O166" s="47">
        <f>IFERROR(VLOOKUP(B166,Presolana!A:Q,16,0),0)</f>
        <v>0</v>
      </c>
      <c r="Q166" s="60">
        <f t="shared" si="16"/>
        <v>1.7398226999999997</v>
      </c>
      <c r="S166" s="56">
        <f t="shared" si="19"/>
        <v>1</v>
      </c>
      <c r="T166" s="57">
        <f>VLOOKUP(S166,Regolamento!G$6:I$14,3,0)</f>
        <v>1</v>
      </c>
      <c r="V166" s="60">
        <f t="shared" ref="V166:V195" si="20">+T166*Q166</f>
        <v>1.7398226999999997</v>
      </c>
      <c r="Y166"/>
    </row>
    <row r="167" spans="1:26" x14ac:dyDescent="0.25">
      <c r="A167">
        <v>162</v>
      </c>
      <c r="B167" s="8" t="s">
        <v>88</v>
      </c>
      <c r="C167" s="12" t="str">
        <f>IFERROR(VLOOKUP(B167,concorrenti!A:C,3,0)," ")</f>
        <v>C</v>
      </c>
      <c r="D167" s="12">
        <f>VLOOKUP(B167,concorrenti!A:E,5,0)</f>
        <v>0</v>
      </c>
      <c r="E167" s="12">
        <f>VLOOKUP(B167,concorrenti!A:G,7,0)</f>
        <v>0</v>
      </c>
      <c r="F167" s="12" t="str">
        <f>VLOOKUP(B167,concorrenti!A$1:G$289,2,0)</f>
        <v>VAMS</v>
      </c>
      <c r="G167" s="47">
        <f>IFERROR(VLOOKUP(B167,'Nora Sciplino'!A$12:P$68,16,0),0)</f>
        <v>1.3777499999999998</v>
      </c>
      <c r="H167" s="47">
        <f>IFERROR(VLOOKUP(B167,Castellotti!A$12:P$66,16,0),0)</f>
        <v>0</v>
      </c>
      <c r="I167" s="75">
        <f>IFERROR(VLOOKUP(B167,Solidarietà!A:P,16,0),0)</f>
        <v>0</v>
      </c>
      <c r="J167" s="104">
        <f t="shared" si="18"/>
        <v>0.36207269999999997</v>
      </c>
      <c r="K167" s="57">
        <f>IFERROR(VLOOKUP(B167,'Giro del Lario'!A:P,16,0),0)</f>
        <v>0</v>
      </c>
      <c r="L167" s="47">
        <f>IFERROR(VLOOKUP(B167,'Campo dei Fiori'!A:P,16,0),0)</f>
        <v>0</v>
      </c>
      <c r="M167" s="47">
        <f>IFERROR(VLOOKUP(B167,'Erba Ghisallo'!A:P,16,0),0)</f>
        <v>0</v>
      </c>
      <c r="N167" s="47">
        <f>IFERROR(VLOOKUP(B167,Ambrosiano!A:Q,16,0),0)</f>
        <v>0</v>
      </c>
      <c r="O167" s="47">
        <f>IFERROR(VLOOKUP(B167,Presolana!A:Q,16,0),0)</f>
        <v>0</v>
      </c>
      <c r="P167" s="4"/>
      <c r="Q167" s="60">
        <f t="shared" si="16"/>
        <v>1.7398226999999997</v>
      </c>
      <c r="S167" s="56">
        <f t="shared" si="19"/>
        <v>1</v>
      </c>
      <c r="T167" s="57">
        <f>VLOOKUP(S167,Regolamento!G$6:I$14,3,0)</f>
        <v>1</v>
      </c>
      <c r="V167" s="60">
        <f t="shared" si="20"/>
        <v>1.7398226999999997</v>
      </c>
      <c r="Y167"/>
    </row>
    <row r="168" spans="1:26" x14ac:dyDescent="0.25">
      <c r="A168">
        <v>163</v>
      </c>
      <c r="B168" s="8" t="s">
        <v>89</v>
      </c>
      <c r="C168" s="12" t="str">
        <f>IFERROR(VLOOKUP(B168,concorrenti!A:C,3,0)," ")</f>
        <v>C</v>
      </c>
      <c r="D168" s="12">
        <f>VLOOKUP(B168,concorrenti!A:E,5,0)</f>
        <v>0</v>
      </c>
      <c r="E168" s="12">
        <f>VLOOKUP(B168,concorrenti!A:G,7,0)</f>
        <v>0</v>
      </c>
      <c r="F168" s="12" t="str">
        <f>VLOOKUP(B168,concorrenti!A$1:G$289,2,0)</f>
        <v>VAMS</v>
      </c>
      <c r="G168" s="47">
        <f>IFERROR(VLOOKUP(B168,'Nora Sciplino'!A$12:P$68,16,0),0)</f>
        <v>1.3777499999999998</v>
      </c>
      <c r="H168" s="47">
        <f>IFERROR(VLOOKUP(B168,Castellotti!A$12:P$66,16,0),0)</f>
        <v>0</v>
      </c>
      <c r="I168" s="75">
        <f>IFERROR(VLOOKUP(B168,Solidarietà!A:P,16,0),0)</f>
        <v>0</v>
      </c>
      <c r="J168" s="104">
        <f t="shared" si="18"/>
        <v>0.36207269999999997</v>
      </c>
      <c r="K168" s="57">
        <f>IFERROR(VLOOKUP(B168,'Giro del Lario'!A:P,16,0),0)</f>
        <v>0</v>
      </c>
      <c r="L168" s="47">
        <f>IFERROR(VLOOKUP(B168,'Campo dei Fiori'!A:P,16,0),0)</f>
        <v>0</v>
      </c>
      <c r="M168" s="47">
        <f>IFERROR(VLOOKUP(B168,'Erba Ghisallo'!A:P,16,0),0)</f>
        <v>0</v>
      </c>
      <c r="N168" s="47">
        <f>IFERROR(VLOOKUP(B168,Ambrosiano!A:Q,16,0),0)</f>
        <v>0</v>
      </c>
      <c r="O168" s="47">
        <f>IFERROR(VLOOKUP(B168,Presolana!A:Q,16,0),0)</f>
        <v>0</v>
      </c>
      <c r="P168" s="4"/>
      <c r="Q168" s="60">
        <f t="shared" si="16"/>
        <v>1.7398226999999997</v>
      </c>
      <c r="S168" s="56">
        <f t="shared" si="19"/>
        <v>1</v>
      </c>
      <c r="T168" s="57">
        <f>VLOOKUP(S168,Regolamento!G$6:I$14,3,0)</f>
        <v>1</v>
      </c>
      <c r="V168" s="60">
        <f t="shared" si="20"/>
        <v>1.7398226999999997</v>
      </c>
      <c r="Y168"/>
    </row>
    <row r="169" spans="1:26" x14ac:dyDescent="0.25">
      <c r="A169">
        <v>164</v>
      </c>
      <c r="B169" s="8" t="s">
        <v>92</v>
      </c>
      <c r="C169" s="12" t="str">
        <f>IFERROR(VLOOKUP(B169,concorrenti!A:C,3,0)," ")</f>
        <v>C</v>
      </c>
      <c r="D169" s="12">
        <f>VLOOKUP(B169,concorrenti!A:E,5,0)</f>
        <v>0</v>
      </c>
      <c r="E169" s="12" t="str">
        <f>VLOOKUP(B169,concorrenti!A:G,7,0)</f>
        <v>MECCANICO</v>
      </c>
      <c r="F169" s="12" t="str">
        <f>VLOOKUP(B169,concorrenti!A$1:G$289,2,0)</f>
        <v>VAMS</v>
      </c>
      <c r="G169" s="47">
        <f>IFERROR(VLOOKUP(B169,'Nora Sciplino'!A$12:P$68,16,0),0)</f>
        <v>1.3777499999999998</v>
      </c>
      <c r="H169" s="47">
        <f>IFERROR(VLOOKUP(B169,Castellotti!A$12:P$66,16,0),0)</f>
        <v>0</v>
      </c>
      <c r="I169" s="75">
        <f>IFERROR(VLOOKUP(B169,Solidarietà!A:P,16,0),0)</f>
        <v>0</v>
      </c>
      <c r="J169" s="104">
        <f t="shared" si="18"/>
        <v>0.36207269999999997</v>
      </c>
      <c r="K169" s="57">
        <f>IFERROR(VLOOKUP(B169,'Giro del Lario'!A:P,16,0),0)</f>
        <v>0</v>
      </c>
      <c r="L169" s="47">
        <f>IFERROR(VLOOKUP(B169,'Campo dei Fiori'!A:P,16,0),0)</f>
        <v>0</v>
      </c>
      <c r="M169" s="47">
        <f>IFERROR(VLOOKUP(B169,'Erba Ghisallo'!A:P,16,0),0)</f>
        <v>0</v>
      </c>
      <c r="N169" s="47">
        <f>IFERROR(VLOOKUP(B169,Ambrosiano!A:Q,16,0),0)</f>
        <v>0</v>
      </c>
      <c r="O169" s="47">
        <f>IFERROR(VLOOKUP(B169,Presolana!A:Q,16,0),0)</f>
        <v>0</v>
      </c>
      <c r="Q169" s="60">
        <f t="shared" si="16"/>
        <v>1.7398226999999997</v>
      </c>
      <c r="S169" s="56">
        <f t="shared" si="19"/>
        <v>1</v>
      </c>
      <c r="T169" s="57">
        <f>VLOOKUP(S169,Regolamento!G$6:I$14,3,0)</f>
        <v>1</v>
      </c>
      <c r="V169" s="60">
        <f t="shared" si="20"/>
        <v>1.7398226999999997</v>
      </c>
      <c r="Y169"/>
    </row>
    <row r="170" spans="1:26" x14ac:dyDescent="0.25">
      <c r="A170">
        <v>165</v>
      </c>
      <c r="B170" s="8" t="s">
        <v>93</v>
      </c>
      <c r="C170" s="12" t="str">
        <f>IFERROR(VLOOKUP(B170,concorrenti!A:C,3,0)," ")</f>
        <v>C</v>
      </c>
      <c r="D170" s="12">
        <f>VLOOKUP(B170,concorrenti!A:E,5,0)</f>
        <v>0</v>
      </c>
      <c r="E170" s="12">
        <f>VLOOKUP(B170,concorrenti!A:G,7,0)</f>
        <v>0</v>
      </c>
      <c r="F170" s="12" t="str">
        <f>VLOOKUP(B170,concorrenti!A$1:G$289,2,0)</f>
        <v>VALTELLINA</v>
      </c>
      <c r="G170" s="47">
        <f>IFERROR(VLOOKUP(B170,'Nora Sciplino'!A$12:P$68,16,0),0)</f>
        <v>1.3777499999999998</v>
      </c>
      <c r="H170" s="47">
        <f>IFERROR(VLOOKUP(B170,Castellotti!A$12:P$66,16,0),0)</f>
        <v>0</v>
      </c>
      <c r="I170" s="75">
        <f>IFERROR(VLOOKUP(B170,Solidarietà!A:P,16,0),0)</f>
        <v>0</v>
      </c>
      <c r="J170" s="104">
        <f t="shared" si="18"/>
        <v>0.36207269999999997</v>
      </c>
      <c r="K170" s="57">
        <f>IFERROR(VLOOKUP(B170,'Giro del Lario'!A:P,16,0),0)</f>
        <v>0</v>
      </c>
      <c r="L170" s="47">
        <f>IFERROR(VLOOKUP(B170,'Campo dei Fiori'!A:P,16,0),0)</f>
        <v>0</v>
      </c>
      <c r="M170" s="47">
        <f>IFERROR(VLOOKUP(B170,'Erba Ghisallo'!A:P,16,0),0)</f>
        <v>0</v>
      </c>
      <c r="N170" s="47">
        <f>IFERROR(VLOOKUP(B170,Ambrosiano!A:Q,16,0),0)</f>
        <v>0</v>
      </c>
      <c r="O170" s="47">
        <f>IFERROR(VLOOKUP(B170,Presolana!A:Q,16,0),0)</f>
        <v>0</v>
      </c>
      <c r="Q170" s="60">
        <f t="shared" si="16"/>
        <v>1.7398226999999997</v>
      </c>
      <c r="S170" s="56">
        <f t="shared" si="19"/>
        <v>1</v>
      </c>
      <c r="T170" s="57">
        <f>VLOOKUP(S170,Regolamento!G$6:I$14,3,0)</f>
        <v>1</v>
      </c>
      <c r="V170" s="60">
        <f t="shared" si="20"/>
        <v>1.7398226999999997</v>
      </c>
      <c r="Y170"/>
    </row>
    <row r="171" spans="1:26" x14ac:dyDescent="0.25">
      <c r="A171">
        <v>166</v>
      </c>
      <c r="B171" s="8" t="s">
        <v>94</v>
      </c>
      <c r="C171" s="12" t="str">
        <f>IFERROR(VLOOKUP(B171,concorrenti!A:C,3,0)," ")</f>
        <v>C</v>
      </c>
      <c r="D171" s="12">
        <f>VLOOKUP(B171,concorrenti!A:E,5,0)</f>
        <v>0</v>
      </c>
      <c r="E171" s="12">
        <f>VLOOKUP(B171,concorrenti!A:G,7,0)</f>
        <v>0</v>
      </c>
      <c r="F171" s="12" t="str">
        <f>VLOOKUP(B171,concorrenti!A$1:G$289,2,0)</f>
        <v>VALTELLINA</v>
      </c>
      <c r="G171" s="47">
        <f>IFERROR(VLOOKUP(B171,'Nora Sciplino'!A$12:P$68,16,0),0)</f>
        <v>1.3777499999999998</v>
      </c>
      <c r="H171" s="47">
        <f>IFERROR(VLOOKUP(B171,Castellotti!A$12:P$66,16,0),0)</f>
        <v>0</v>
      </c>
      <c r="I171" s="75">
        <f>IFERROR(VLOOKUP(B171,Solidarietà!A:P,16,0),0)</f>
        <v>0</v>
      </c>
      <c r="J171" s="104">
        <f t="shared" si="18"/>
        <v>0.36207269999999997</v>
      </c>
      <c r="K171" s="57">
        <f>IFERROR(VLOOKUP(B171,'Giro del Lario'!A:P,16,0),0)</f>
        <v>0</v>
      </c>
      <c r="L171" s="47">
        <f>IFERROR(VLOOKUP(B171,'Campo dei Fiori'!A:P,16,0),0)</f>
        <v>0</v>
      </c>
      <c r="M171" s="47">
        <f>IFERROR(VLOOKUP(B171,'Erba Ghisallo'!A:P,16,0),0)</f>
        <v>0</v>
      </c>
      <c r="N171" s="47">
        <f>IFERROR(VLOOKUP(B171,Ambrosiano!A:Q,16,0),0)</f>
        <v>0</v>
      </c>
      <c r="O171" s="47">
        <f>IFERROR(VLOOKUP(B171,Presolana!A:Q,16,0),0)</f>
        <v>0</v>
      </c>
      <c r="P171" s="4"/>
      <c r="Q171" s="60">
        <f t="shared" si="16"/>
        <v>1.7398226999999997</v>
      </c>
      <c r="S171" s="56">
        <f t="shared" si="19"/>
        <v>1</v>
      </c>
      <c r="T171" s="57">
        <f>VLOOKUP(S171,Regolamento!G$6:I$14,3,0)</f>
        <v>1</v>
      </c>
      <c r="V171" s="60">
        <f t="shared" si="20"/>
        <v>1.7398226999999997</v>
      </c>
      <c r="Y171"/>
    </row>
    <row r="172" spans="1:26" x14ac:dyDescent="0.25">
      <c r="A172">
        <v>167</v>
      </c>
      <c r="B172" s="8" t="s">
        <v>554</v>
      </c>
      <c r="C172" s="12" t="str">
        <f>IFERROR(VLOOKUP(B172,concorrenti!A:C,3,0)," ")</f>
        <v>C</v>
      </c>
      <c r="D172" s="12">
        <f>VLOOKUP(B172,concorrenti!A:E,5,0)</f>
        <v>0</v>
      </c>
      <c r="E172" s="12" t="str">
        <f>VLOOKUP(B172,concorrenti!A:G,7,0)</f>
        <v>MECCANICO</v>
      </c>
      <c r="F172" s="12" t="str">
        <f>VLOOKUP(B172,concorrenti!A$1:G$289,2,0)</f>
        <v>GAMS</v>
      </c>
      <c r="G172" s="47">
        <f>IFERROR(VLOOKUP(B172,'Nora Sciplino'!A$12:P$68,16,0),0)</f>
        <v>1.3777499999999998</v>
      </c>
      <c r="H172" s="47">
        <f>IFERROR(VLOOKUP(B172,Castellotti!A$12:P$66,16,0),0)</f>
        <v>0</v>
      </c>
      <c r="I172" s="75">
        <f>IFERROR(VLOOKUP(B172,Solidarietà!A:P,16,0),0)</f>
        <v>0</v>
      </c>
      <c r="J172" s="104">
        <f t="shared" si="18"/>
        <v>0.36207269999999997</v>
      </c>
      <c r="K172" s="57">
        <f>IFERROR(VLOOKUP(B172,'Giro del Lario'!A:P,16,0),0)</f>
        <v>0</v>
      </c>
      <c r="L172" s="47">
        <f>IFERROR(VLOOKUP(B172,'Campo dei Fiori'!A:P,16,0),0)</f>
        <v>0</v>
      </c>
      <c r="M172" s="47">
        <f>IFERROR(VLOOKUP(B172,'Erba Ghisallo'!A:P,16,0),0)</f>
        <v>0</v>
      </c>
      <c r="N172" s="47">
        <f>IFERROR(VLOOKUP(B172,Ambrosiano!A:Q,16,0),0)</f>
        <v>0</v>
      </c>
      <c r="O172" s="47">
        <f>IFERROR(VLOOKUP(B172,Presolana!A:Q,16,0),0)</f>
        <v>0</v>
      </c>
      <c r="P172" s="4"/>
      <c r="Q172" s="60">
        <f t="shared" si="16"/>
        <v>1.7398226999999997</v>
      </c>
      <c r="S172" s="56">
        <f t="shared" si="19"/>
        <v>1</v>
      </c>
      <c r="T172" s="57">
        <f>VLOOKUP(S172,Regolamento!G$6:I$14,3,0)</f>
        <v>1</v>
      </c>
      <c r="V172" s="60">
        <f t="shared" si="20"/>
        <v>1.7398226999999997</v>
      </c>
      <c r="Y172"/>
    </row>
    <row r="173" spans="1:26" x14ac:dyDescent="0.25">
      <c r="A173">
        <v>168</v>
      </c>
      <c r="B173" s="80" t="s">
        <v>576</v>
      </c>
      <c r="C173" s="12" t="str">
        <f>IFERROR(VLOOKUP(B173,concorrenti!A:C,3,0)," ")</f>
        <v>C</v>
      </c>
      <c r="D173" s="12">
        <f>VLOOKUP(B173,concorrenti!A:E,5,0)</f>
        <v>0</v>
      </c>
      <c r="E173" s="12">
        <f>VLOOKUP(B173,concorrenti!A:G,7,0)</f>
        <v>0</v>
      </c>
      <c r="F173" s="12" t="str">
        <f>VLOOKUP(B173,concorrenti!A$1:G$289,2,0)</f>
        <v>OROBICO</v>
      </c>
      <c r="G173" s="47">
        <f>IFERROR(VLOOKUP(B173,'Nora Sciplino'!A$12:P$68,16,0),0)</f>
        <v>0</v>
      </c>
      <c r="H173" s="47">
        <f>IFERROR(VLOOKUP(B173,Castellotti!A$12:P$66,16,0),0)</f>
        <v>0</v>
      </c>
      <c r="I173" s="75">
        <f>IFERROR(VLOOKUP(B173,Solidarietà!A:P,16,0),0)</f>
        <v>0</v>
      </c>
      <c r="J173" s="47">
        <f>IFERROR(VLOOKUP(B173,Gallarate!A:P,16,0),0)</f>
        <v>0</v>
      </c>
      <c r="K173" s="57">
        <f>IFERROR(VLOOKUP(B173,'Giro del Lario'!A:P,16,0),0)</f>
        <v>0</v>
      </c>
      <c r="L173" s="47">
        <f>IFERROR(VLOOKUP(B173,'Campo dei Fiori'!A:P,16,0),0)</f>
        <v>0</v>
      </c>
      <c r="M173" s="47">
        <f>IFERROR(VLOOKUP(B173,'Erba Ghisallo'!A:P,16,0),0)</f>
        <v>0</v>
      </c>
      <c r="N173" s="47">
        <f>IFERROR(VLOOKUP(B173,Ambrosiano!A:Q,16,0),0)</f>
        <v>0</v>
      </c>
      <c r="O173" s="47">
        <f>IFERROR(VLOOKUP(B173,Presolana!A:Q,16,0),0)</f>
        <v>1.3174999999999999</v>
      </c>
      <c r="P173" s="4"/>
      <c r="Q173" s="60">
        <f t="shared" si="16"/>
        <v>1.3174999999999999</v>
      </c>
      <c r="S173" s="56">
        <f t="shared" ref="S173:S195" si="21">COUNTIF(G173:O173,"&lt;&gt;0")</f>
        <v>1</v>
      </c>
      <c r="T173" s="57">
        <f>VLOOKUP(S173,Regolamento!G$6:I$14,3,0)</f>
        <v>1</v>
      </c>
      <c r="V173" s="60">
        <f t="shared" si="20"/>
        <v>1.3174999999999999</v>
      </c>
      <c r="Y173"/>
    </row>
    <row r="174" spans="1:26" x14ac:dyDescent="0.25">
      <c r="A174">
        <v>169</v>
      </c>
      <c r="B174" s="8" t="s">
        <v>497</v>
      </c>
      <c r="C174" s="12" t="str">
        <f>IFERROR(VLOOKUP(B174,concorrenti!A:C,3,0)," ")</f>
        <v>C</v>
      </c>
      <c r="D174" s="12">
        <f>VLOOKUP(B174,concorrenti!A:E,5,0)</f>
        <v>0</v>
      </c>
      <c r="E174" s="12">
        <f>VLOOKUP(B174,concorrenti!A:G,7,0)</f>
        <v>0</v>
      </c>
      <c r="F174" s="12" t="str">
        <f>VLOOKUP(B174,concorrenti!A$1:G$289,2,0)</f>
        <v>VCC COMO</v>
      </c>
      <c r="G174" s="47">
        <f>IFERROR(VLOOKUP(B174,'Nora Sciplino'!A$12:P$68,16,0),0)</f>
        <v>0</v>
      </c>
      <c r="H174" s="47">
        <f>IFERROR(VLOOKUP(B174,Castellotti!A$12:P$66,16,0),0)</f>
        <v>0</v>
      </c>
      <c r="I174" s="75">
        <f>IFERROR(VLOOKUP(B174,Solidarietà!A:P,16,0),0)</f>
        <v>0</v>
      </c>
      <c r="J174" s="47">
        <f>IFERROR(VLOOKUP(B174,Gallarate!A:P,16,0),0)</f>
        <v>0</v>
      </c>
      <c r="K174" s="57">
        <f>IFERROR(VLOOKUP(B174,'Giro del Lario'!A:P,16,0),0)</f>
        <v>0</v>
      </c>
      <c r="L174" s="47">
        <f>IFERROR(VLOOKUP(B174,'Campo dei Fiori'!A:P,16,0),0)</f>
        <v>0</v>
      </c>
      <c r="M174" s="47">
        <f>IFERROR(VLOOKUP(B174,'Erba Ghisallo'!A:P,16,0),0)</f>
        <v>1.1759999999999999</v>
      </c>
      <c r="N174" s="47">
        <f>IFERROR(VLOOKUP(B174,Ambrosiano!A:Q,16,0),0)</f>
        <v>0</v>
      </c>
      <c r="O174" s="47">
        <f>IFERROR(VLOOKUP(B174,Presolana!A:Q,16,0),0)</f>
        <v>0</v>
      </c>
      <c r="P174" s="4"/>
      <c r="Q174" s="60">
        <f t="shared" si="16"/>
        <v>1.1759999999999999</v>
      </c>
      <c r="S174" s="56">
        <f t="shared" si="21"/>
        <v>1</v>
      </c>
      <c r="T174" s="57">
        <f>VLOOKUP(S174,Regolamento!G$6:I$14,3,0)</f>
        <v>1</v>
      </c>
      <c r="V174" s="60">
        <f t="shared" si="20"/>
        <v>1.1759999999999999</v>
      </c>
      <c r="Y174"/>
    </row>
    <row r="175" spans="1:26" x14ac:dyDescent="0.25">
      <c r="A175">
        <v>170</v>
      </c>
      <c r="B175" s="8" t="s">
        <v>489</v>
      </c>
      <c r="C175" s="12" t="str">
        <f>IFERROR(VLOOKUP(B175,concorrenti!A:C,3,0)," ")</f>
        <v>C</v>
      </c>
      <c r="D175" s="12">
        <f>VLOOKUP(B175,concorrenti!A:E,5,0)</f>
        <v>0</v>
      </c>
      <c r="E175" s="12">
        <f>VLOOKUP(B175,concorrenti!A:G,7,0)</f>
        <v>0</v>
      </c>
      <c r="F175" s="12" t="str">
        <f>VLOOKUP(B175,concorrenti!A$1:G$289,2,0)</f>
        <v>VCC COMO</v>
      </c>
      <c r="G175" s="47">
        <f>IFERROR(VLOOKUP(B175,'Nora Sciplino'!A$12:P$68,16,0),0)</f>
        <v>0</v>
      </c>
      <c r="H175" s="47">
        <f>IFERROR(VLOOKUP(B175,Castellotti!A$12:P$66,16,0),0)</f>
        <v>0</v>
      </c>
      <c r="I175" s="75">
        <f>IFERROR(VLOOKUP(B175,Solidarietà!A:P,16,0),0)</f>
        <v>0</v>
      </c>
      <c r="J175" s="47">
        <f>IFERROR(VLOOKUP(B175,Gallarate!A:P,16,0),0)</f>
        <v>0</v>
      </c>
      <c r="K175" s="57">
        <f>IFERROR(VLOOKUP(B175,'Giro del Lario'!A:P,16,0),0)</f>
        <v>0</v>
      </c>
      <c r="L175" s="47">
        <f>IFERROR(VLOOKUP(B175,'Campo dei Fiori'!A:P,16,0),0)</f>
        <v>0</v>
      </c>
      <c r="M175" s="47">
        <f>IFERROR(VLOOKUP(B175,'Erba Ghisallo'!A:P,16,0),0)</f>
        <v>1.1759999999999999</v>
      </c>
      <c r="N175" s="47">
        <f>IFERROR(VLOOKUP(B175,Ambrosiano!A:Q,16,0),0)</f>
        <v>0</v>
      </c>
      <c r="O175" s="47">
        <f>IFERROR(VLOOKUP(B175,Presolana!A:Q,16,0),0)</f>
        <v>0</v>
      </c>
      <c r="P175" s="4"/>
      <c r="Q175" s="60">
        <f t="shared" si="16"/>
        <v>1.1759999999999999</v>
      </c>
      <c r="S175" s="56">
        <f t="shared" si="21"/>
        <v>1</v>
      </c>
      <c r="T175" s="57">
        <f>VLOOKUP(S175,Regolamento!G$6:I$14,3,0)</f>
        <v>1</v>
      </c>
      <c r="V175" s="60">
        <f t="shared" si="20"/>
        <v>1.1759999999999999</v>
      </c>
      <c r="Y175"/>
    </row>
    <row r="176" spans="1:26" x14ac:dyDescent="0.25">
      <c r="A176">
        <v>171</v>
      </c>
      <c r="B176" s="8" t="s">
        <v>484</v>
      </c>
      <c r="C176" s="12" t="str">
        <f>IFERROR(VLOOKUP(B176,concorrenti!A:C,3,0)," ")</f>
        <v>C</v>
      </c>
      <c r="D176" s="12">
        <f>VLOOKUP(B176,concorrenti!A:E,5,0)</f>
        <v>0</v>
      </c>
      <c r="E176" s="12">
        <f>VLOOKUP(B176,concorrenti!A:G,7,0)</f>
        <v>0</v>
      </c>
      <c r="F176" s="12" t="str">
        <f>VLOOKUP(B176,concorrenti!A$1:G$289,2,0)</f>
        <v>CLASSIC CLUB ITALIA</v>
      </c>
      <c r="G176" s="47">
        <f>IFERROR(VLOOKUP(B176,'Nora Sciplino'!A$12:P$68,16,0),0)</f>
        <v>0</v>
      </c>
      <c r="H176" s="47">
        <f>IFERROR(VLOOKUP(B176,Castellotti!A$12:P$66,16,0),0)</f>
        <v>0</v>
      </c>
      <c r="I176" s="75">
        <f>IFERROR(VLOOKUP(B176,Solidarietà!A:P,16,0),0)</f>
        <v>0</v>
      </c>
      <c r="J176" s="47">
        <f>IFERROR(VLOOKUP(B176,Gallarate!A:P,16,0),0)</f>
        <v>0</v>
      </c>
      <c r="K176" s="57">
        <f>IFERROR(VLOOKUP(B176,'Giro del Lario'!A:P,16,0),0)</f>
        <v>0</v>
      </c>
      <c r="L176" s="47">
        <f>IFERROR(VLOOKUP(B176,'Campo dei Fiori'!A:P,16,0),0)</f>
        <v>0</v>
      </c>
      <c r="M176" s="47">
        <f>IFERROR(VLOOKUP(B176,'Erba Ghisallo'!A:P,16,0),0)</f>
        <v>1.1759999999999999</v>
      </c>
      <c r="N176" s="47">
        <f>IFERROR(VLOOKUP(B176,Ambrosiano!A:Q,16,0),0)</f>
        <v>0</v>
      </c>
      <c r="O176" s="47">
        <f>IFERROR(VLOOKUP(B176,Presolana!A:Q,16,0),0)</f>
        <v>0</v>
      </c>
      <c r="P176" s="4"/>
      <c r="Q176" s="60">
        <f t="shared" si="16"/>
        <v>1.1759999999999999</v>
      </c>
      <c r="S176" s="56">
        <f t="shared" si="21"/>
        <v>1</v>
      </c>
      <c r="T176" s="57">
        <f>VLOOKUP(S176,Regolamento!G$6:I$14,3,0)</f>
        <v>1</v>
      </c>
      <c r="V176" s="60">
        <f t="shared" si="20"/>
        <v>1.1759999999999999</v>
      </c>
      <c r="Y176"/>
    </row>
    <row r="177" spans="1:26" x14ac:dyDescent="0.25">
      <c r="A177">
        <v>172</v>
      </c>
      <c r="B177" s="8" t="s">
        <v>486</v>
      </c>
      <c r="C177" s="12" t="str">
        <f>IFERROR(VLOOKUP(B177,concorrenti!A:C,3,0)," ")</f>
        <v>C</v>
      </c>
      <c r="D177" s="12">
        <f>VLOOKUP(B177,concorrenti!A:E,5,0)</f>
        <v>0</v>
      </c>
      <c r="E177" s="12">
        <f>VLOOKUP(B177,concorrenti!A:G,7,0)</f>
        <v>0</v>
      </c>
      <c r="F177" s="12" t="str">
        <f>VLOOKUP(B177,concorrenti!A$1:G$289,2,0)</f>
        <v>VCC COMO</v>
      </c>
      <c r="G177" s="47">
        <f>IFERROR(VLOOKUP(B177,'Nora Sciplino'!A$12:P$68,16,0),0)</f>
        <v>0</v>
      </c>
      <c r="H177" s="47">
        <f>IFERROR(VLOOKUP(B177,Castellotti!A$12:P$66,16,0),0)</f>
        <v>0</v>
      </c>
      <c r="I177" s="75">
        <f>IFERROR(VLOOKUP(B177,Solidarietà!A:P,16,0),0)</f>
        <v>0</v>
      </c>
      <c r="J177" s="47">
        <f>IFERROR(VLOOKUP(B177,Gallarate!A:P,16,0),0)</f>
        <v>0</v>
      </c>
      <c r="K177" s="57">
        <f>IFERROR(VLOOKUP(B177,'Giro del Lario'!A:P,16,0),0)</f>
        <v>0</v>
      </c>
      <c r="L177" s="47">
        <f>IFERROR(VLOOKUP(B177,'Campo dei Fiori'!A:P,16,0),0)</f>
        <v>0</v>
      </c>
      <c r="M177" s="47">
        <f>IFERROR(VLOOKUP(B177,'Erba Ghisallo'!A:P,16,0),0)</f>
        <v>1.1759999999999999</v>
      </c>
      <c r="N177" s="47">
        <f>IFERROR(VLOOKUP(B177,Ambrosiano!A:Q,16,0),0)</f>
        <v>0</v>
      </c>
      <c r="O177" s="47">
        <f>IFERROR(VLOOKUP(B177,Presolana!A:Q,16,0),0)</f>
        <v>0</v>
      </c>
      <c r="P177" s="4"/>
      <c r="Q177" s="60">
        <f t="shared" ref="Q177:Q195" si="22">SUM(G177:P177)</f>
        <v>1.1759999999999999</v>
      </c>
      <c r="S177" s="56">
        <f t="shared" si="21"/>
        <v>1</v>
      </c>
      <c r="T177" s="57">
        <f>VLOOKUP(S177,Regolamento!G$6:I$14,3,0)</f>
        <v>1</v>
      </c>
      <c r="V177" s="60">
        <f t="shared" si="20"/>
        <v>1.1759999999999999</v>
      </c>
      <c r="Y177"/>
    </row>
    <row r="178" spans="1:26" x14ac:dyDescent="0.25">
      <c r="A178">
        <v>173</v>
      </c>
      <c r="B178" s="8" t="s">
        <v>492</v>
      </c>
      <c r="C178" s="12" t="str">
        <f>IFERROR(VLOOKUP(B178,concorrenti!A:C,3,0)," ")</f>
        <v>C</v>
      </c>
      <c r="D178" s="12">
        <f>VLOOKUP(B178,concorrenti!A:E,5,0)</f>
        <v>0</v>
      </c>
      <c r="E178" s="12">
        <f>VLOOKUP(B178,concorrenti!A:G,7,0)</f>
        <v>0</v>
      </c>
      <c r="F178" s="12" t="str">
        <f>VLOOKUP(B178,concorrenti!A$1:G$289,2,0)</f>
        <v>VCC COMO</v>
      </c>
      <c r="G178" s="47">
        <f>IFERROR(VLOOKUP(B178,'Nora Sciplino'!A$12:P$68,16,0),0)</f>
        <v>0</v>
      </c>
      <c r="H178" s="47">
        <f>IFERROR(VLOOKUP(B178,Castellotti!A$12:P$66,16,0),0)</f>
        <v>0</v>
      </c>
      <c r="I178" s="75">
        <f>IFERROR(VLOOKUP(B178,Solidarietà!A:P,16,0),0)</f>
        <v>0</v>
      </c>
      <c r="J178" s="47">
        <f>IFERROR(VLOOKUP(B178,Gallarate!A:P,16,0),0)</f>
        <v>0</v>
      </c>
      <c r="K178" s="57">
        <f>IFERROR(VLOOKUP(B178,'Giro del Lario'!A:P,16,0),0)</f>
        <v>0</v>
      </c>
      <c r="L178" s="47">
        <f>IFERROR(VLOOKUP(B178,'Campo dei Fiori'!A:P,16,0),0)</f>
        <v>0</v>
      </c>
      <c r="M178" s="47">
        <f>IFERROR(VLOOKUP(B178,'Erba Ghisallo'!A:P,16,0),0)</f>
        <v>1.1759999999999999</v>
      </c>
      <c r="N178" s="47">
        <f>IFERROR(VLOOKUP(B178,Ambrosiano!A:Q,16,0),0)</f>
        <v>0</v>
      </c>
      <c r="O178" s="47">
        <f>IFERROR(VLOOKUP(B178,Presolana!A:Q,16,0),0)</f>
        <v>0</v>
      </c>
      <c r="P178" s="4"/>
      <c r="Q178" s="60">
        <f t="shared" si="22"/>
        <v>1.1759999999999999</v>
      </c>
      <c r="S178" s="56">
        <f t="shared" si="21"/>
        <v>1</v>
      </c>
      <c r="T178" s="57">
        <f>VLOOKUP(S178,Regolamento!G$6:I$14,3,0)</f>
        <v>1</v>
      </c>
      <c r="V178" s="60">
        <f t="shared" si="20"/>
        <v>1.1759999999999999</v>
      </c>
      <c r="Y178"/>
    </row>
    <row r="179" spans="1:26" x14ac:dyDescent="0.25">
      <c r="A179">
        <v>174</v>
      </c>
      <c r="B179" s="8" t="s">
        <v>493</v>
      </c>
      <c r="C179" s="12" t="str">
        <f>IFERROR(VLOOKUP(B179,concorrenti!A:C,3,0)," ")</f>
        <v>C</v>
      </c>
      <c r="D179" s="12">
        <f>VLOOKUP(B179,concorrenti!A:E,5,0)</f>
        <v>0</v>
      </c>
      <c r="E179" s="12">
        <f>VLOOKUP(B179,concorrenti!A:G,7,0)</f>
        <v>0</v>
      </c>
      <c r="F179" s="12" t="str">
        <f>VLOOKUP(B179,concorrenti!A$1:G$289,2,0)</f>
        <v>VCC COMO</v>
      </c>
      <c r="G179" s="47">
        <f>IFERROR(VLOOKUP(B179,'Nora Sciplino'!A$12:P$68,16,0),0)</f>
        <v>0</v>
      </c>
      <c r="H179" s="47">
        <f>IFERROR(VLOOKUP(B179,Castellotti!A$12:P$66,16,0),0)</f>
        <v>0</v>
      </c>
      <c r="I179" s="75">
        <f>IFERROR(VLOOKUP(B179,Solidarietà!A:P,16,0),0)</f>
        <v>0</v>
      </c>
      <c r="J179" s="47">
        <f>IFERROR(VLOOKUP(B179,Gallarate!A:P,16,0),0)</f>
        <v>0</v>
      </c>
      <c r="K179" s="57">
        <f>IFERROR(VLOOKUP(B179,'Giro del Lario'!A:P,16,0),0)</f>
        <v>0</v>
      </c>
      <c r="L179" s="47">
        <f>IFERROR(VLOOKUP(B179,'Campo dei Fiori'!A:P,16,0),0)</f>
        <v>0</v>
      </c>
      <c r="M179" s="47">
        <f>IFERROR(VLOOKUP(B179,'Erba Ghisallo'!A:P,16,0),0)</f>
        <v>1.1759999999999999</v>
      </c>
      <c r="N179" s="47">
        <f>IFERROR(VLOOKUP(B179,Ambrosiano!A:Q,16,0),0)</f>
        <v>0</v>
      </c>
      <c r="O179" s="47">
        <f>IFERROR(VLOOKUP(B179,Presolana!A:Q,16,0),0)</f>
        <v>0</v>
      </c>
      <c r="P179" s="4"/>
      <c r="Q179" s="60">
        <f t="shared" si="22"/>
        <v>1.1759999999999999</v>
      </c>
      <c r="S179" s="56">
        <f t="shared" si="21"/>
        <v>1</v>
      </c>
      <c r="T179" s="57">
        <f>VLOOKUP(S179,Regolamento!G$6:I$14,3,0)</f>
        <v>1</v>
      </c>
      <c r="V179" s="60">
        <f t="shared" si="20"/>
        <v>1.1759999999999999</v>
      </c>
      <c r="Y179"/>
    </row>
    <row r="180" spans="1:26" x14ac:dyDescent="0.25">
      <c r="A180">
        <v>175</v>
      </c>
      <c r="B180" s="8" t="s">
        <v>494</v>
      </c>
      <c r="C180" s="12" t="str">
        <f>IFERROR(VLOOKUP(B180,concorrenti!A:C,3,0)," ")</f>
        <v>C</v>
      </c>
      <c r="D180" s="12">
        <f>VLOOKUP(B180,concorrenti!A:E,5,0)</f>
        <v>0</v>
      </c>
      <c r="E180" s="12">
        <f>VLOOKUP(B180,concorrenti!A:G,7,0)</f>
        <v>0</v>
      </c>
      <c r="F180" s="12" t="str">
        <f>VLOOKUP(B180,concorrenti!A$1:G$289,2,0)</f>
        <v>VCC COMO</v>
      </c>
      <c r="G180" s="47">
        <f>IFERROR(VLOOKUP(B180,'Nora Sciplino'!A$12:P$68,16,0),0)</f>
        <v>0</v>
      </c>
      <c r="H180" s="47">
        <f>IFERROR(VLOOKUP(B180,Castellotti!A$12:P$66,16,0),0)</f>
        <v>0</v>
      </c>
      <c r="I180" s="75">
        <f>IFERROR(VLOOKUP(B180,Solidarietà!A:P,16,0),0)</f>
        <v>0</v>
      </c>
      <c r="J180" s="47">
        <f>IFERROR(VLOOKUP(B180,Gallarate!A:P,16,0),0)</f>
        <v>0</v>
      </c>
      <c r="K180" s="57">
        <f>IFERROR(VLOOKUP(B180,'Giro del Lario'!A:P,16,0),0)</f>
        <v>0</v>
      </c>
      <c r="L180" s="47">
        <f>IFERROR(VLOOKUP(B180,'Campo dei Fiori'!A:P,16,0),0)</f>
        <v>0</v>
      </c>
      <c r="M180" s="47">
        <f>IFERROR(VLOOKUP(B180,'Erba Ghisallo'!A:P,16,0),0)</f>
        <v>1.1759999999999999</v>
      </c>
      <c r="N180" s="47">
        <f>IFERROR(VLOOKUP(B180,Ambrosiano!A:Q,16,0),0)</f>
        <v>0</v>
      </c>
      <c r="O180" s="47">
        <f>IFERROR(VLOOKUP(B180,Presolana!A:Q,16,0),0)</f>
        <v>0</v>
      </c>
      <c r="P180" s="4"/>
      <c r="Q180" s="60">
        <f t="shared" si="22"/>
        <v>1.1759999999999999</v>
      </c>
      <c r="S180" s="56">
        <f t="shared" si="21"/>
        <v>1</v>
      </c>
      <c r="T180" s="57">
        <f>VLOOKUP(S180,Regolamento!G$6:I$14,3,0)</f>
        <v>1</v>
      </c>
      <c r="V180" s="60">
        <f t="shared" si="20"/>
        <v>1.1759999999999999</v>
      </c>
      <c r="Y180"/>
    </row>
    <row r="181" spans="1:26" x14ac:dyDescent="0.25">
      <c r="A181">
        <v>176</v>
      </c>
      <c r="B181" s="8" t="s">
        <v>495</v>
      </c>
      <c r="C181" s="12" t="str">
        <f>IFERROR(VLOOKUP(B181,concorrenti!A:C,3,0)," ")</f>
        <v>C</v>
      </c>
      <c r="D181" s="12">
        <f>VLOOKUP(B181,concorrenti!A:E,5,0)</f>
        <v>0</v>
      </c>
      <c r="E181" s="12">
        <f>VLOOKUP(B181,concorrenti!A:G,7,0)</f>
        <v>0</v>
      </c>
      <c r="F181" s="12" t="str">
        <f>VLOOKUP(B181,concorrenti!A$1:G$289,2,0)</f>
        <v>VCC COMO</v>
      </c>
      <c r="G181" s="47">
        <f>IFERROR(VLOOKUP(B181,'Nora Sciplino'!A$12:P$68,16,0),0)</f>
        <v>0</v>
      </c>
      <c r="H181" s="47">
        <f>IFERROR(VLOOKUP(B181,Castellotti!A$12:P$66,16,0),0)</f>
        <v>0</v>
      </c>
      <c r="I181" s="75">
        <f>IFERROR(VLOOKUP(B181,Solidarietà!A:P,16,0),0)</f>
        <v>0</v>
      </c>
      <c r="J181" s="47">
        <f>IFERROR(VLOOKUP(B181,Gallarate!A:P,16,0),0)</f>
        <v>0</v>
      </c>
      <c r="K181" s="57">
        <f>IFERROR(VLOOKUP(B181,'Giro del Lario'!A:P,16,0),0)</f>
        <v>0</v>
      </c>
      <c r="L181" s="47">
        <f>IFERROR(VLOOKUP(B181,'Campo dei Fiori'!A:P,16,0),0)</f>
        <v>0</v>
      </c>
      <c r="M181" s="47">
        <f>IFERROR(VLOOKUP(B181,'Erba Ghisallo'!A:P,16,0),0)</f>
        <v>1.1759999999999999</v>
      </c>
      <c r="N181" s="47">
        <f>IFERROR(VLOOKUP(B181,Ambrosiano!A:Q,16,0),0)</f>
        <v>0</v>
      </c>
      <c r="O181" s="47">
        <f>IFERROR(VLOOKUP(B181,Presolana!A:Q,16,0),0)</f>
        <v>0</v>
      </c>
      <c r="P181" s="4"/>
      <c r="Q181" s="60">
        <f t="shared" si="22"/>
        <v>1.1759999999999999</v>
      </c>
      <c r="S181" s="56">
        <f t="shared" si="21"/>
        <v>1</v>
      </c>
      <c r="T181" s="57">
        <f>VLOOKUP(S181,Regolamento!G$6:I$14,3,0)</f>
        <v>1</v>
      </c>
      <c r="V181" s="60">
        <f t="shared" si="20"/>
        <v>1.1759999999999999</v>
      </c>
      <c r="Y181"/>
    </row>
    <row r="182" spans="1:26" x14ac:dyDescent="0.25">
      <c r="A182">
        <v>177</v>
      </c>
      <c r="B182" s="8" t="s">
        <v>496</v>
      </c>
      <c r="C182" s="12" t="str">
        <f>IFERROR(VLOOKUP(B182,concorrenti!A:C,3,0)," ")</f>
        <v>C</v>
      </c>
      <c r="D182" s="12">
        <f>VLOOKUP(B182,concorrenti!A:E,5,0)</f>
        <v>0</v>
      </c>
      <c r="E182" s="12">
        <f>VLOOKUP(B182,concorrenti!A:G,7,0)</f>
        <v>0</v>
      </c>
      <c r="F182" s="12" t="str">
        <f>VLOOKUP(B182,concorrenti!A$1:G$289,2,0)</f>
        <v>VCC COMO</v>
      </c>
      <c r="G182" s="47">
        <f>IFERROR(VLOOKUP(B182,'Nora Sciplino'!A$12:P$68,16,0),0)</f>
        <v>0</v>
      </c>
      <c r="H182" s="47">
        <f>IFERROR(VLOOKUP(B182,Castellotti!A$12:P$66,16,0),0)</f>
        <v>0</v>
      </c>
      <c r="I182" s="75">
        <f>IFERROR(VLOOKUP(B182,Solidarietà!A:P,16,0),0)</f>
        <v>0</v>
      </c>
      <c r="J182" s="47">
        <f>IFERROR(VLOOKUP(B182,Gallarate!A:P,16,0),0)</f>
        <v>0</v>
      </c>
      <c r="K182" s="57">
        <f>IFERROR(VLOOKUP(B182,'Giro del Lario'!A:P,16,0),0)</f>
        <v>0</v>
      </c>
      <c r="L182" s="47">
        <f>IFERROR(VLOOKUP(B182,'Campo dei Fiori'!A:P,16,0),0)</f>
        <v>0</v>
      </c>
      <c r="M182" s="47">
        <f>IFERROR(VLOOKUP(B182,'Erba Ghisallo'!A:P,16,0),0)</f>
        <v>1.1759999999999999</v>
      </c>
      <c r="N182" s="47">
        <f>IFERROR(VLOOKUP(B182,Ambrosiano!A:Q,16,0),0)</f>
        <v>0</v>
      </c>
      <c r="O182" s="47">
        <f>IFERROR(VLOOKUP(B182,Presolana!A:Q,16,0),0)</f>
        <v>0</v>
      </c>
      <c r="P182" s="4"/>
      <c r="Q182" s="60">
        <f t="shared" si="22"/>
        <v>1.1759999999999999</v>
      </c>
      <c r="S182" s="56">
        <f t="shared" si="21"/>
        <v>1</v>
      </c>
      <c r="T182" s="57">
        <f>VLOOKUP(S182,Regolamento!G$6:I$14,3,0)</f>
        <v>1</v>
      </c>
      <c r="V182" s="60">
        <f t="shared" si="20"/>
        <v>1.1759999999999999</v>
      </c>
      <c r="Y182"/>
    </row>
    <row r="183" spans="1:26" x14ac:dyDescent="0.25">
      <c r="A183">
        <v>178</v>
      </c>
      <c r="B183" s="8" t="s">
        <v>499</v>
      </c>
      <c r="C183" s="12" t="str">
        <f>IFERROR(VLOOKUP(B183,concorrenti!A:C,3,0)," ")</f>
        <v>C</v>
      </c>
      <c r="D183" s="12">
        <f>VLOOKUP(B183,concorrenti!A:E,5,0)</f>
        <v>0</v>
      </c>
      <c r="E183" s="12">
        <f>VLOOKUP(B183,concorrenti!A:G,7,0)</f>
        <v>0</v>
      </c>
      <c r="F183" s="12" t="str">
        <f>VLOOKUP(B183,concorrenti!A$1:G$289,2,0)</f>
        <v>VCC COMO</v>
      </c>
      <c r="G183" s="47">
        <f>IFERROR(VLOOKUP(B183,'Nora Sciplino'!A$12:P$68,16,0),0)</f>
        <v>0</v>
      </c>
      <c r="H183" s="47">
        <f>IFERROR(VLOOKUP(B183,Castellotti!A$12:P$66,16,0),0)</f>
        <v>0</v>
      </c>
      <c r="I183" s="75">
        <f>IFERROR(VLOOKUP(B183,Solidarietà!A:P,16,0),0)</f>
        <v>0</v>
      </c>
      <c r="J183" s="47">
        <f>IFERROR(VLOOKUP(B183,Gallarate!A:P,16,0),0)</f>
        <v>0</v>
      </c>
      <c r="K183" s="57">
        <f>IFERROR(VLOOKUP(B183,'Giro del Lario'!A:P,16,0),0)</f>
        <v>0</v>
      </c>
      <c r="L183" s="47">
        <f>IFERROR(VLOOKUP(B183,'Campo dei Fiori'!A:P,16,0),0)</f>
        <v>0</v>
      </c>
      <c r="M183" s="47">
        <f>IFERROR(VLOOKUP(B183,'Erba Ghisallo'!A:P,16,0),0)</f>
        <v>1.1759999999999999</v>
      </c>
      <c r="N183" s="47">
        <f>IFERROR(VLOOKUP(B183,Ambrosiano!A:Q,16,0),0)</f>
        <v>0</v>
      </c>
      <c r="O183" s="47">
        <f>IFERROR(VLOOKUP(B183,Presolana!A:Q,16,0),0)</f>
        <v>0</v>
      </c>
      <c r="P183" s="4"/>
      <c r="Q183" s="60">
        <f t="shared" si="22"/>
        <v>1.1759999999999999</v>
      </c>
      <c r="S183" s="56">
        <f t="shared" si="21"/>
        <v>1</v>
      </c>
      <c r="T183" s="57">
        <f>VLOOKUP(S183,Regolamento!G$6:I$14,3,0)</f>
        <v>1</v>
      </c>
      <c r="V183" s="60">
        <f t="shared" si="20"/>
        <v>1.1759999999999999</v>
      </c>
      <c r="Y183"/>
    </row>
    <row r="184" spans="1:26" x14ac:dyDescent="0.25">
      <c r="A184">
        <v>179</v>
      </c>
      <c r="B184" s="8" t="s">
        <v>500</v>
      </c>
      <c r="C184" s="12" t="str">
        <f>IFERROR(VLOOKUP(B184,concorrenti!A:C,3,0)," ")</f>
        <v>C</v>
      </c>
      <c r="D184" s="12">
        <f>VLOOKUP(B184,concorrenti!A:E,5,0)</f>
        <v>0</v>
      </c>
      <c r="E184" s="12">
        <f>VLOOKUP(B184,concorrenti!A:G,7,0)</f>
        <v>0</v>
      </c>
      <c r="F184" s="12" t="str">
        <f>VLOOKUP(B184,concorrenti!A$1:G$289,2,0)</f>
        <v>VCC COMO</v>
      </c>
      <c r="G184" s="47">
        <f>IFERROR(VLOOKUP(B184,'Nora Sciplino'!A$12:P$68,16,0),0)</f>
        <v>0</v>
      </c>
      <c r="H184" s="47">
        <f>IFERROR(VLOOKUP(B184,Castellotti!A$12:P$66,16,0),0)</f>
        <v>0</v>
      </c>
      <c r="I184" s="75">
        <f>IFERROR(VLOOKUP(B184,Solidarietà!A:P,16,0),0)</f>
        <v>0</v>
      </c>
      <c r="J184" s="47">
        <f>IFERROR(VLOOKUP(B184,Gallarate!A:P,16,0),0)</f>
        <v>0</v>
      </c>
      <c r="K184" s="57">
        <f>IFERROR(VLOOKUP(B184,'Giro del Lario'!A:P,16,0),0)</f>
        <v>0</v>
      </c>
      <c r="L184" s="47">
        <f>IFERROR(VLOOKUP(B184,'Campo dei Fiori'!A:P,16,0),0)</f>
        <v>0</v>
      </c>
      <c r="M184" s="47">
        <f>IFERROR(VLOOKUP(B184,'Erba Ghisallo'!A:P,16,0),0)</f>
        <v>1.1759999999999999</v>
      </c>
      <c r="N184" s="47">
        <f>IFERROR(VLOOKUP(B184,Ambrosiano!A:Q,16,0),0)</f>
        <v>0</v>
      </c>
      <c r="O184" s="47">
        <f>IFERROR(VLOOKUP(B184,Presolana!A:Q,16,0),0)</f>
        <v>0</v>
      </c>
      <c r="P184" s="4"/>
      <c r="Q184" s="60">
        <f t="shared" si="22"/>
        <v>1.1759999999999999</v>
      </c>
      <c r="S184" s="56">
        <f t="shared" si="21"/>
        <v>1</v>
      </c>
      <c r="T184" s="57">
        <f>VLOOKUP(S184,Regolamento!G$6:I$14,3,0)</f>
        <v>1</v>
      </c>
      <c r="V184" s="60">
        <f t="shared" si="20"/>
        <v>1.1759999999999999</v>
      </c>
      <c r="X184" s="10"/>
      <c r="Z184" s="119"/>
    </row>
    <row r="185" spans="1:26" x14ac:dyDescent="0.25">
      <c r="A185">
        <v>180</v>
      </c>
      <c r="B185" s="8" t="s">
        <v>501</v>
      </c>
      <c r="C185" s="12" t="str">
        <f>IFERROR(VLOOKUP(B185,concorrenti!A:C,3,0)," ")</f>
        <v>C</v>
      </c>
      <c r="D185" s="12">
        <f>VLOOKUP(B185,concorrenti!A:E,5,0)</f>
        <v>0</v>
      </c>
      <c r="E185" s="12">
        <f>VLOOKUP(B185,concorrenti!A:G,7,0)</f>
        <v>0</v>
      </c>
      <c r="F185" s="12" t="str">
        <f>VLOOKUP(B185,concorrenti!A$1:G$289,2,0)</f>
        <v>VCC COMO</v>
      </c>
      <c r="G185" s="47">
        <f>IFERROR(VLOOKUP(B185,'Nora Sciplino'!A$12:P$68,16,0),0)</f>
        <v>0</v>
      </c>
      <c r="H185" s="47">
        <f>IFERROR(VLOOKUP(B185,Castellotti!A$12:P$66,16,0),0)</f>
        <v>0</v>
      </c>
      <c r="I185" s="75">
        <f>IFERROR(VLOOKUP(B185,Solidarietà!A:P,16,0),0)</f>
        <v>0</v>
      </c>
      <c r="J185" s="47">
        <f>IFERROR(VLOOKUP(B185,Gallarate!A:P,16,0),0)</f>
        <v>0</v>
      </c>
      <c r="K185" s="57">
        <f>IFERROR(VLOOKUP(B185,'Giro del Lario'!A:P,16,0),0)</f>
        <v>0</v>
      </c>
      <c r="L185" s="47">
        <f>IFERROR(VLOOKUP(B185,'Campo dei Fiori'!A:P,16,0),0)</f>
        <v>0</v>
      </c>
      <c r="M185" s="47">
        <f>IFERROR(VLOOKUP(B185,'Erba Ghisallo'!A:P,16,0),0)</f>
        <v>1.1759999999999999</v>
      </c>
      <c r="N185" s="47">
        <f>IFERROR(VLOOKUP(B185,Ambrosiano!A:Q,16,0),0)</f>
        <v>0</v>
      </c>
      <c r="O185" s="47">
        <f>IFERROR(VLOOKUP(B185,Presolana!A:Q,16,0),0)</f>
        <v>0</v>
      </c>
      <c r="P185" s="4"/>
      <c r="Q185" s="60">
        <f t="shared" si="22"/>
        <v>1.1759999999999999</v>
      </c>
      <c r="S185" s="56">
        <f t="shared" si="21"/>
        <v>1</v>
      </c>
      <c r="T185" s="57">
        <f>VLOOKUP(S185,Regolamento!G$6:I$14,3,0)</f>
        <v>1</v>
      </c>
      <c r="V185" s="60">
        <f t="shared" si="20"/>
        <v>1.1759999999999999</v>
      </c>
      <c r="X185" s="10"/>
      <c r="Z185" s="119"/>
    </row>
    <row r="186" spans="1:26" x14ac:dyDescent="0.25">
      <c r="A186">
        <v>181</v>
      </c>
      <c r="B186" s="8" t="s">
        <v>502</v>
      </c>
      <c r="C186" s="12" t="str">
        <f>IFERROR(VLOOKUP(B186,concorrenti!A:C,3,0)," ")</f>
        <v>C</v>
      </c>
      <c r="D186" s="12">
        <f>VLOOKUP(B186,concorrenti!A:E,5,0)</f>
        <v>0</v>
      </c>
      <c r="E186" s="12">
        <f>VLOOKUP(B186,concorrenti!A:G,7,0)</f>
        <v>0</v>
      </c>
      <c r="F186" s="12" t="str">
        <f>VLOOKUP(B186,concorrenti!A$1:G$289,2,0)</f>
        <v>VCC COMO</v>
      </c>
      <c r="G186" s="47">
        <f>IFERROR(VLOOKUP(B186,'Nora Sciplino'!A$12:P$68,16,0),0)</f>
        <v>0</v>
      </c>
      <c r="H186" s="47">
        <f>IFERROR(VLOOKUP(B186,Castellotti!A$12:P$66,16,0),0)</f>
        <v>0</v>
      </c>
      <c r="I186" s="75">
        <f>IFERROR(VLOOKUP(B186,Solidarietà!A:P,16,0),0)</f>
        <v>0</v>
      </c>
      <c r="J186" s="47">
        <f>IFERROR(VLOOKUP(B186,Gallarate!A:P,16,0),0)</f>
        <v>0</v>
      </c>
      <c r="K186" s="57">
        <f>IFERROR(VLOOKUP(B186,'Giro del Lario'!A:P,16,0),0)</f>
        <v>0</v>
      </c>
      <c r="L186" s="47">
        <f>IFERROR(VLOOKUP(B186,'Campo dei Fiori'!A:P,16,0),0)</f>
        <v>0</v>
      </c>
      <c r="M186" s="47">
        <f>IFERROR(VLOOKUP(B186,'Erba Ghisallo'!A:P,16,0),0)</f>
        <v>1.1759999999999999</v>
      </c>
      <c r="N186" s="47">
        <f>IFERROR(VLOOKUP(B186,Ambrosiano!A:Q,16,0),0)</f>
        <v>0</v>
      </c>
      <c r="O186" s="47">
        <f>IFERROR(VLOOKUP(B186,Presolana!A:Q,16,0),0)</f>
        <v>0</v>
      </c>
      <c r="P186" s="4"/>
      <c r="Q186" s="60">
        <f t="shared" si="22"/>
        <v>1.1759999999999999</v>
      </c>
      <c r="S186" s="56">
        <f t="shared" si="21"/>
        <v>1</v>
      </c>
      <c r="T186" s="57">
        <f>VLOOKUP(S186,Regolamento!G$6:I$14,3,0)</f>
        <v>1</v>
      </c>
      <c r="V186" s="60">
        <f t="shared" si="20"/>
        <v>1.1759999999999999</v>
      </c>
      <c r="X186" s="10"/>
      <c r="Z186" s="119"/>
    </row>
    <row r="187" spans="1:26" x14ac:dyDescent="0.25">
      <c r="A187">
        <v>182</v>
      </c>
      <c r="B187" s="112" t="s">
        <v>377</v>
      </c>
      <c r="C187" s="113" t="str">
        <f>IFERROR(VLOOKUP(B187,concorrenti!A:C,3,0)," ")</f>
        <v>C</v>
      </c>
      <c r="D187" s="113">
        <f>VLOOKUP(B187,concorrenti!A:E,5,0)</f>
        <v>0</v>
      </c>
      <c r="E187" s="113" t="str">
        <f>VLOOKUP(B187,concorrenti!A:G,7,0)</f>
        <v>MECCANICO</v>
      </c>
      <c r="F187" s="113" t="str">
        <f>VLOOKUP(B187,concorrenti!A$1:G$289,2,0)</f>
        <v>GAMS</v>
      </c>
      <c r="G187" s="114">
        <f>IFERROR(VLOOKUP(B187,'Nora Sciplino'!A$12:P$68,16,0),0)</f>
        <v>0</v>
      </c>
      <c r="H187" s="114">
        <f>IFERROR(VLOOKUP(B187,Castellotti!A$12:P$66,16,0),0)</f>
        <v>0</v>
      </c>
      <c r="I187" s="115">
        <f>IFERROR(VLOOKUP(B187,Solidarietà!A:P,16,0),0)</f>
        <v>0</v>
      </c>
      <c r="J187" s="114">
        <f>IFERROR(VLOOKUP(B187,Gallarate!A:P,16,0),0)</f>
        <v>1.0933999999999999</v>
      </c>
      <c r="K187" s="125">
        <f>IFERROR(VLOOKUP(B187,'Giro del Lario'!A:P,16,0),0)</f>
        <v>0</v>
      </c>
      <c r="L187" s="114">
        <f>IFERROR(VLOOKUP(B187,'Campo dei Fiori'!A:P,16,0),0)</f>
        <v>0</v>
      </c>
      <c r="M187" s="114">
        <f>IFERROR(VLOOKUP(B187,'Erba Ghisallo'!A:P,16,0),0)</f>
        <v>0</v>
      </c>
      <c r="N187" s="114">
        <f>IFERROR(VLOOKUP(B187,Ambrosiano!A:Q,16,0),0)</f>
        <v>0</v>
      </c>
      <c r="O187" s="47">
        <f>IFERROR(VLOOKUP(B187,Presolana!A:Q,16,0),0)</f>
        <v>0</v>
      </c>
      <c r="P187" s="4"/>
      <c r="Q187" s="60">
        <f t="shared" si="22"/>
        <v>1.0933999999999999</v>
      </c>
      <c r="R187" s="2"/>
      <c r="S187" s="56">
        <f t="shared" si="21"/>
        <v>1</v>
      </c>
      <c r="T187" s="57">
        <f>VLOOKUP(S187,Regolamento!G$6:I$14,3,0)</f>
        <v>1</v>
      </c>
      <c r="U187" s="2"/>
      <c r="V187" s="117">
        <f t="shared" si="20"/>
        <v>1.0933999999999999</v>
      </c>
      <c r="X187" s="10"/>
      <c r="Z187" s="119"/>
    </row>
    <row r="188" spans="1:26" x14ac:dyDescent="0.25">
      <c r="A188">
        <v>183</v>
      </c>
      <c r="B188" s="8" t="s">
        <v>386</v>
      </c>
      <c r="C188" s="12" t="str">
        <f>IFERROR(VLOOKUP(B188,concorrenti!A:C,3,0)," ")</f>
        <v>C</v>
      </c>
      <c r="D188" s="12">
        <f>VLOOKUP(B188,concorrenti!A:E,5,0)</f>
        <v>0</v>
      </c>
      <c r="E188" s="12" t="str">
        <f>VLOOKUP(B188,concorrenti!A:G,7,0)</f>
        <v>MECCANICO</v>
      </c>
      <c r="F188" s="12" t="str">
        <f>VLOOKUP(B188,concorrenti!A$1:G$289,2,0)</f>
        <v>GAMS</v>
      </c>
      <c r="G188" s="47">
        <f>IFERROR(VLOOKUP(B188,'Nora Sciplino'!A$12:P$68,16,0),0)</f>
        <v>0</v>
      </c>
      <c r="H188" s="47">
        <f>IFERROR(VLOOKUP(B188,Castellotti!A$12:P$66,16,0),0)</f>
        <v>0</v>
      </c>
      <c r="I188" s="75">
        <f>IFERROR(VLOOKUP(B188,Solidarietà!A:P,16,0),0)</f>
        <v>0</v>
      </c>
      <c r="J188" s="47">
        <f>IFERROR(VLOOKUP(B188,Gallarate!A:P,16,0),0)</f>
        <v>1.0933999999999999</v>
      </c>
      <c r="K188" s="57">
        <f>IFERROR(VLOOKUP(B188,'Giro del Lario'!A:P,16,0),0)</f>
        <v>0</v>
      </c>
      <c r="L188" s="47">
        <f>IFERROR(VLOOKUP(B188,'Campo dei Fiori'!A:P,16,0),0)</f>
        <v>0</v>
      </c>
      <c r="M188" s="47">
        <f>IFERROR(VLOOKUP(B188,'Erba Ghisallo'!A:P,16,0),0)</f>
        <v>0</v>
      </c>
      <c r="N188" s="47">
        <f>IFERROR(VLOOKUP(B188,Ambrosiano!A:Q,16,0),0)</f>
        <v>0</v>
      </c>
      <c r="O188" s="47">
        <f>IFERROR(VLOOKUP(B188,Presolana!A:Q,16,0),0)</f>
        <v>0</v>
      </c>
      <c r="P188" s="4"/>
      <c r="Q188" s="60">
        <f t="shared" si="22"/>
        <v>1.0933999999999999</v>
      </c>
      <c r="S188" s="56">
        <f t="shared" si="21"/>
        <v>1</v>
      </c>
      <c r="T188" s="57">
        <f>VLOOKUP(S188,Regolamento!G$6:I$14,3,0)</f>
        <v>1</v>
      </c>
      <c r="V188" s="60">
        <f t="shared" si="20"/>
        <v>1.0933999999999999</v>
      </c>
      <c r="X188" s="10"/>
      <c r="Z188" s="119"/>
    </row>
    <row r="189" spans="1:26" x14ac:dyDescent="0.25">
      <c r="A189">
        <v>184</v>
      </c>
      <c r="B189" s="8" t="s">
        <v>396</v>
      </c>
      <c r="C189" s="12" t="str">
        <f>IFERROR(VLOOKUP(B189,concorrenti!A:C,3,0)," ")</f>
        <v>C</v>
      </c>
      <c r="D189" s="12">
        <f>VLOOKUP(B189,concorrenti!A:E,5,0)</f>
        <v>0</v>
      </c>
      <c r="E189" s="12" t="str">
        <f>VLOOKUP(B189,concorrenti!A:G,7,0)</f>
        <v>MECCANICO</v>
      </c>
      <c r="F189" s="12" t="str">
        <f>VLOOKUP(B189,concorrenti!A$1:G$289,2,0)</f>
        <v>GAMS</v>
      </c>
      <c r="G189" s="47">
        <f>IFERROR(VLOOKUP(B189,'Nora Sciplino'!A$12:P$68,16,0),0)</f>
        <v>0</v>
      </c>
      <c r="H189" s="47">
        <f>IFERROR(VLOOKUP(B189,Castellotti!A$12:P$66,16,0),0)</f>
        <v>0</v>
      </c>
      <c r="I189" s="75">
        <f>IFERROR(VLOOKUP(B189,Solidarietà!A:P,16,0),0)</f>
        <v>0</v>
      </c>
      <c r="J189" s="47">
        <f>IFERROR(VLOOKUP(B189,Gallarate!A:P,16,0),0)</f>
        <v>1.0933999999999999</v>
      </c>
      <c r="K189" s="57">
        <f>IFERROR(VLOOKUP(B189,'Giro del Lario'!A:P,16,0),0)</f>
        <v>0</v>
      </c>
      <c r="L189" s="47">
        <f>IFERROR(VLOOKUP(B189,'Campo dei Fiori'!A:P,16,0),0)</f>
        <v>0</v>
      </c>
      <c r="M189" s="47">
        <f>IFERROR(VLOOKUP(B189,'Erba Ghisallo'!A:P,16,0),0)</f>
        <v>0</v>
      </c>
      <c r="N189" s="47">
        <f>IFERROR(VLOOKUP(B189,Ambrosiano!A:Q,16,0),0)</f>
        <v>0</v>
      </c>
      <c r="O189" s="47">
        <f>IFERROR(VLOOKUP(B189,Presolana!A:Q,16,0),0)</f>
        <v>0</v>
      </c>
      <c r="P189" s="4"/>
      <c r="Q189" s="60">
        <f t="shared" si="22"/>
        <v>1.0933999999999999</v>
      </c>
      <c r="S189" s="56">
        <f t="shared" si="21"/>
        <v>1</v>
      </c>
      <c r="T189" s="57">
        <f>VLOOKUP(S189,Regolamento!G$6:I$14,3,0)</f>
        <v>1</v>
      </c>
      <c r="V189" s="60">
        <f t="shared" si="20"/>
        <v>1.0933999999999999</v>
      </c>
      <c r="X189" s="10"/>
      <c r="Z189" s="119"/>
    </row>
    <row r="190" spans="1:26" x14ac:dyDescent="0.25">
      <c r="A190">
        <v>185</v>
      </c>
      <c r="B190" s="8" t="s">
        <v>400</v>
      </c>
      <c r="C190" s="12" t="str">
        <f>IFERROR(VLOOKUP(B190,concorrenti!A:C,3,0)," ")</f>
        <v>C</v>
      </c>
      <c r="D190" s="12">
        <f>VLOOKUP(B190,concorrenti!A:E,5,0)</f>
        <v>0</v>
      </c>
      <c r="E190" s="12">
        <f>VLOOKUP(B190,concorrenti!A:G,7,0)</f>
        <v>0</v>
      </c>
      <c r="F190" s="12" t="str">
        <f>VLOOKUP(B190,concorrenti!A$1:G$289,2,0)</f>
        <v>GAMS</v>
      </c>
      <c r="G190" s="47">
        <f>IFERROR(VLOOKUP(B190,'Nora Sciplino'!A$12:P$68,16,0),0)</f>
        <v>0</v>
      </c>
      <c r="H190" s="47">
        <f>IFERROR(VLOOKUP(B190,Castellotti!A$12:P$66,16,0),0)</f>
        <v>0</v>
      </c>
      <c r="I190" s="75">
        <f>IFERROR(VLOOKUP(B190,Solidarietà!A:P,16,0),0)</f>
        <v>0</v>
      </c>
      <c r="J190" s="47">
        <f>IFERROR(VLOOKUP(B190,Gallarate!A:P,16,0),0)</f>
        <v>1.0933999999999999</v>
      </c>
      <c r="K190" s="57">
        <f>IFERROR(VLOOKUP(B190,'Giro del Lario'!A:P,16,0),0)</f>
        <v>0</v>
      </c>
      <c r="L190" s="47">
        <f>IFERROR(VLOOKUP(B190,'Campo dei Fiori'!A:P,16,0),0)</f>
        <v>0</v>
      </c>
      <c r="M190" s="47">
        <f>IFERROR(VLOOKUP(B190,'Erba Ghisallo'!A:P,16,0),0)</f>
        <v>0</v>
      </c>
      <c r="N190" s="47">
        <f>IFERROR(VLOOKUP(B190,Ambrosiano!A:Q,16,0),0)</f>
        <v>0</v>
      </c>
      <c r="O190" s="47">
        <f>IFERROR(VLOOKUP(B190,Presolana!A:Q,16,0),0)</f>
        <v>0</v>
      </c>
      <c r="P190" s="4"/>
      <c r="Q190" s="60">
        <f t="shared" si="22"/>
        <v>1.0933999999999999</v>
      </c>
      <c r="S190" s="56">
        <f t="shared" si="21"/>
        <v>1</v>
      </c>
      <c r="T190" s="57">
        <f>VLOOKUP(S190,Regolamento!G$6:I$14,3,0)</f>
        <v>1</v>
      </c>
      <c r="V190" s="60">
        <f t="shared" si="20"/>
        <v>1.0933999999999999</v>
      </c>
      <c r="X190" s="10"/>
      <c r="Z190" s="119"/>
    </row>
    <row r="191" spans="1:26" x14ac:dyDescent="0.25">
      <c r="A191">
        <v>186</v>
      </c>
      <c r="B191" s="112" t="s">
        <v>401</v>
      </c>
      <c r="C191" s="113" t="str">
        <f>IFERROR(VLOOKUP(B191,concorrenti!A:C,3,0)," ")</f>
        <v>C</v>
      </c>
      <c r="D191" s="113">
        <f>VLOOKUP(B191,concorrenti!A:E,5,0)</f>
        <v>0</v>
      </c>
      <c r="E191" s="113">
        <f>VLOOKUP(B191,concorrenti!A:G,7,0)</f>
        <v>0</v>
      </c>
      <c r="F191" s="113" t="str">
        <f>VLOOKUP(B191,concorrenti!A$1:G$289,2,0)</f>
        <v>GAMS</v>
      </c>
      <c r="G191" s="114">
        <f>IFERROR(VLOOKUP(B191,'Nora Sciplino'!A$12:P$68,16,0),0)</f>
        <v>0</v>
      </c>
      <c r="H191" s="114">
        <f>IFERROR(VLOOKUP(B191,Castellotti!A$12:P$66,16,0),0)</f>
        <v>0</v>
      </c>
      <c r="I191" s="115">
        <f>IFERROR(VLOOKUP(B191,Solidarietà!A:P,16,0),0)</f>
        <v>0</v>
      </c>
      <c r="J191" s="114">
        <f>IFERROR(VLOOKUP(B191,Gallarate!A:P,16,0),0)</f>
        <v>1.0933999999999999</v>
      </c>
      <c r="K191" s="125">
        <f>IFERROR(VLOOKUP(B191,'Giro del Lario'!A:P,16,0),0)</f>
        <v>0</v>
      </c>
      <c r="L191" s="114">
        <f>IFERROR(VLOOKUP(B191,'Campo dei Fiori'!A:P,16,0),0)</f>
        <v>0</v>
      </c>
      <c r="M191" s="114">
        <f>IFERROR(VLOOKUP(B191,'Erba Ghisallo'!A:P,16,0),0)</f>
        <v>0</v>
      </c>
      <c r="N191" s="114">
        <f>IFERROR(VLOOKUP(B191,Ambrosiano!A:Q,16,0),0)</f>
        <v>0</v>
      </c>
      <c r="O191" s="47">
        <f>IFERROR(VLOOKUP(B191,Presolana!A:Q,16,0),0)</f>
        <v>0</v>
      </c>
      <c r="P191" s="4"/>
      <c r="Q191" s="60">
        <f t="shared" si="22"/>
        <v>1.0933999999999999</v>
      </c>
      <c r="R191" s="2"/>
      <c r="S191" s="56">
        <f t="shared" si="21"/>
        <v>1</v>
      </c>
      <c r="T191" s="57">
        <f>VLOOKUP(S191,Regolamento!G$6:I$14,3,0)</f>
        <v>1</v>
      </c>
      <c r="U191" s="2"/>
      <c r="V191" s="117">
        <f t="shared" si="20"/>
        <v>1.0933999999999999</v>
      </c>
      <c r="X191" s="10"/>
      <c r="Z191" s="119"/>
    </row>
    <row r="192" spans="1:26" x14ac:dyDescent="0.25">
      <c r="A192">
        <v>187</v>
      </c>
      <c r="B192" s="8" t="s">
        <v>402</v>
      </c>
      <c r="C192" s="12" t="str">
        <f>IFERROR(VLOOKUP(B192,concorrenti!A:C,3,0)," ")</f>
        <v>C</v>
      </c>
      <c r="D192" s="12">
        <f>VLOOKUP(B192,concorrenti!A:E,5,0)</f>
        <v>0</v>
      </c>
      <c r="E192" s="12" t="str">
        <f>VLOOKUP(B192,concorrenti!A:G,7,0)</f>
        <v>MECCANICO</v>
      </c>
      <c r="F192" s="12" t="str">
        <f>VLOOKUP(B192,concorrenti!A$1:G$289,2,0)</f>
        <v>GAMS</v>
      </c>
      <c r="G192" s="47">
        <f>IFERROR(VLOOKUP(B192,'Nora Sciplino'!A$12:P$68,16,0),0)</f>
        <v>0</v>
      </c>
      <c r="H192" s="47">
        <f>IFERROR(VLOOKUP(B192,Castellotti!A$12:P$66,16,0),0)</f>
        <v>0</v>
      </c>
      <c r="I192" s="75">
        <f>IFERROR(VLOOKUP(B192,Solidarietà!A:P,16,0),0)</f>
        <v>0</v>
      </c>
      <c r="J192" s="47">
        <f>IFERROR(VLOOKUP(B192,Gallarate!A:P,16,0),0)</f>
        <v>1.0933999999999999</v>
      </c>
      <c r="K192" s="57">
        <f>IFERROR(VLOOKUP(B192,'Giro del Lario'!A:P,16,0),0)</f>
        <v>0</v>
      </c>
      <c r="L192" s="47">
        <f>IFERROR(VLOOKUP(B192,'Campo dei Fiori'!A:P,16,0),0)</f>
        <v>0</v>
      </c>
      <c r="M192" s="47">
        <f>IFERROR(VLOOKUP(B192,'Erba Ghisallo'!A:P,16,0),0)</f>
        <v>0</v>
      </c>
      <c r="N192" s="47">
        <f>IFERROR(VLOOKUP(B192,Ambrosiano!A:Q,16,0),0)</f>
        <v>0</v>
      </c>
      <c r="O192" s="47">
        <f>IFERROR(VLOOKUP(B192,Presolana!A:Q,16,0),0)</f>
        <v>0</v>
      </c>
      <c r="P192" s="4"/>
      <c r="Q192" s="60">
        <f t="shared" si="22"/>
        <v>1.0933999999999999</v>
      </c>
      <c r="S192" s="56">
        <f t="shared" si="21"/>
        <v>1</v>
      </c>
      <c r="T192" s="57">
        <f>VLOOKUP(S192,Regolamento!G$6:I$14,3,0)</f>
        <v>1</v>
      </c>
      <c r="V192" s="60">
        <f t="shared" si="20"/>
        <v>1.0933999999999999</v>
      </c>
      <c r="X192" s="10"/>
      <c r="Z192" s="119"/>
    </row>
    <row r="193" spans="1:26" x14ac:dyDescent="0.25">
      <c r="A193">
        <v>188</v>
      </c>
      <c r="B193" s="8" t="s">
        <v>404</v>
      </c>
      <c r="C193" s="12" t="str">
        <f>IFERROR(VLOOKUP(B193,concorrenti!A:C,3,0)," ")</f>
        <v>C</v>
      </c>
      <c r="D193" s="12">
        <f>VLOOKUP(B193,concorrenti!A:E,5,0)</f>
        <v>0</v>
      </c>
      <c r="E193" s="12">
        <f>VLOOKUP(B193,concorrenti!A:G,7,0)</f>
        <v>0</v>
      </c>
      <c r="F193" s="12" t="str">
        <f>VLOOKUP(B193,concorrenti!A$1:G$289,2,0)</f>
        <v>GAMS</v>
      </c>
      <c r="G193" s="47">
        <f>IFERROR(VLOOKUP(B193,'Nora Sciplino'!A$12:P$68,16,0),0)</f>
        <v>0</v>
      </c>
      <c r="H193" s="47">
        <f>IFERROR(VLOOKUP(B193,Castellotti!A$12:P$66,16,0),0)</f>
        <v>0</v>
      </c>
      <c r="I193" s="75">
        <f>IFERROR(VLOOKUP(B193,Solidarietà!A:P,16,0),0)</f>
        <v>0</v>
      </c>
      <c r="J193" s="47">
        <f>IFERROR(VLOOKUP(B193,Gallarate!A:P,16,0),0)</f>
        <v>1.0933999999999999</v>
      </c>
      <c r="K193" s="57">
        <f>IFERROR(VLOOKUP(B193,'Giro del Lario'!A:P,16,0),0)</f>
        <v>0</v>
      </c>
      <c r="L193" s="47">
        <f>IFERROR(VLOOKUP(B193,'Campo dei Fiori'!A:P,16,0),0)</f>
        <v>0</v>
      </c>
      <c r="M193" s="47">
        <f>IFERROR(VLOOKUP(B193,'Erba Ghisallo'!A:P,16,0),0)</f>
        <v>0</v>
      </c>
      <c r="N193" s="47">
        <f>IFERROR(VLOOKUP(B193,Ambrosiano!A:Q,16,0),0)</f>
        <v>0</v>
      </c>
      <c r="O193" s="47">
        <f>IFERROR(VLOOKUP(B193,Presolana!A:Q,16,0),0)</f>
        <v>0</v>
      </c>
      <c r="P193" s="4"/>
      <c r="Q193" s="60">
        <f t="shared" si="22"/>
        <v>1.0933999999999999</v>
      </c>
      <c r="S193" s="56">
        <f t="shared" si="21"/>
        <v>1</v>
      </c>
      <c r="T193" s="57">
        <f>VLOOKUP(S193,Regolamento!G$6:I$14,3,0)</f>
        <v>1</v>
      </c>
      <c r="V193" s="60">
        <f t="shared" si="20"/>
        <v>1.0933999999999999</v>
      </c>
      <c r="X193" s="10"/>
      <c r="Z193" s="119"/>
    </row>
    <row r="194" spans="1:26" x14ac:dyDescent="0.25">
      <c r="A194">
        <v>189</v>
      </c>
      <c r="B194" s="8" t="s">
        <v>405</v>
      </c>
      <c r="C194" s="12" t="str">
        <f>IFERROR(VLOOKUP(B194,concorrenti!A:C,3,0)," ")</f>
        <v>C</v>
      </c>
      <c r="D194" s="12">
        <f>VLOOKUP(B194,concorrenti!A:E,5,0)</f>
        <v>0</v>
      </c>
      <c r="E194" s="12" t="str">
        <f>VLOOKUP(B194,concorrenti!A:G,7,0)</f>
        <v>MECCANICO</v>
      </c>
      <c r="F194" s="12" t="str">
        <f>VLOOKUP(B194,concorrenti!A$1:G$289,2,0)</f>
        <v>GAMS</v>
      </c>
      <c r="G194" s="47">
        <f>IFERROR(VLOOKUP(B194,'Nora Sciplino'!A$12:P$68,16,0),0)</f>
        <v>0</v>
      </c>
      <c r="H194" s="47">
        <f>IFERROR(VLOOKUP(B194,Castellotti!A$12:P$66,16,0),0)</f>
        <v>0</v>
      </c>
      <c r="I194" s="75">
        <f>IFERROR(VLOOKUP(B194,Solidarietà!A:P,16,0),0)</f>
        <v>0</v>
      </c>
      <c r="J194" s="47">
        <f>IFERROR(VLOOKUP(B194,Gallarate!A:P,16,0),0)</f>
        <v>1.0933999999999999</v>
      </c>
      <c r="K194" s="57">
        <f>IFERROR(VLOOKUP(B194,'Giro del Lario'!A:P,16,0),0)</f>
        <v>0</v>
      </c>
      <c r="L194" s="47">
        <f>IFERROR(VLOOKUP(B194,'Campo dei Fiori'!A:P,16,0),0)</f>
        <v>0</v>
      </c>
      <c r="M194" s="47">
        <f>IFERROR(VLOOKUP(B194,'Erba Ghisallo'!A:P,16,0),0)</f>
        <v>0</v>
      </c>
      <c r="N194" s="47">
        <f>IFERROR(VLOOKUP(B194,Ambrosiano!A:Q,16,0),0)</f>
        <v>0</v>
      </c>
      <c r="O194" s="47">
        <f>IFERROR(VLOOKUP(B194,Presolana!A:Q,16,0),0)</f>
        <v>0</v>
      </c>
      <c r="P194" s="4"/>
      <c r="Q194" s="60">
        <f t="shared" si="22"/>
        <v>1.0933999999999999</v>
      </c>
      <c r="S194" s="56">
        <f t="shared" si="21"/>
        <v>1</v>
      </c>
      <c r="T194" s="57">
        <f>VLOOKUP(S194,Regolamento!G$6:I$14,3,0)</f>
        <v>1</v>
      </c>
      <c r="V194" s="60">
        <f t="shared" si="20"/>
        <v>1.0933999999999999</v>
      </c>
      <c r="X194" s="10"/>
      <c r="Z194" s="119"/>
    </row>
    <row r="195" spans="1:26" x14ac:dyDescent="0.25">
      <c r="A195">
        <v>190</v>
      </c>
      <c r="B195" s="8" t="s">
        <v>406</v>
      </c>
      <c r="C195" s="12" t="str">
        <f>IFERROR(VLOOKUP(B195,concorrenti!A:C,3,0)," ")</f>
        <v>C</v>
      </c>
      <c r="D195" s="12">
        <f>VLOOKUP(B195,concorrenti!A:E,5,0)</f>
        <v>0</v>
      </c>
      <c r="E195" s="12" t="str">
        <f>VLOOKUP(B195,concorrenti!A:G,7,0)</f>
        <v>MECCANICO</v>
      </c>
      <c r="F195" s="12" t="str">
        <f>VLOOKUP(B195,concorrenti!A$1:G$289,2,0)</f>
        <v>GAMS</v>
      </c>
      <c r="G195" s="47">
        <f>IFERROR(VLOOKUP(B195,'Nora Sciplino'!A$12:P$68,16,0),0)</f>
        <v>0</v>
      </c>
      <c r="H195" s="47">
        <f>IFERROR(VLOOKUP(B195,Castellotti!A$12:P$66,16,0),0)</f>
        <v>0</v>
      </c>
      <c r="I195" s="75">
        <f>IFERROR(VLOOKUP(B195,Solidarietà!A:P,16,0),0)</f>
        <v>0</v>
      </c>
      <c r="J195" s="47">
        <f>IFERROR(VLOOKUP(B195,Gallarate!A:P,16,0),0)</f>
        <v>1.0933999999999999</v>
      </c>
      <c r="K195" s="57">
        <f>IFERROR(VLOOKUP(B195,'Giro del Lario'!A:P,16,0),0)</f>
        <v>0</v>
      </c>
      <c r="L195" s="47">
        <f>IFERROR(VLOOKUP(B195,'Campo dei Fiori'!A:P,16,0),0)</f>
        <v>0</v>
      </c>
      <c r="M195" s="47">
        <f>IFERROR(VLOOKUP(B195,'Erba Ghisallo'!A:P,16,0),0)</f>
        <v>0</v>
      </c>
      <c r="N195" s="47">
        <f>IFERROR(VLOOKUP(B195,Ambrosiano!A:Q,16,0),0)</f>
        <v>0</v>
      </c>
      <c r="O195" s="47">
        <f>IFERROR(VLOOKUP(B195,Presolana!A:Q,16,0),0)</f>
        <v>0</v>
      </c>
      <c r="P195" s="4"/>
      <c r="Q195" s="60">
        <f t="shared" si="22"/>
        <v>1.0933999999999999</v>
      </c>
      <c r="S195" s="56">
        <f t="shared" si="21"/>
        <v>1</v>
      </c>
      <c r="T195" s="57">
        <f>VLOOKUP(S195,Regolamento!G$6:I$14,3,0)</f>
        <v>1</v>
      </c>
      <c r="V195" s="60">
        <f t="shared" si="20"/>
        <v>1.0933999999999999</v>
      </c>
      <c r="X195" s="10"/>
      <c r="Z195" s="119"/>
    </row>
    <row r="196" spans="1:26" x14ac:dyDescent="0.25">
      <c r="G196" s="48"/>
      <c r="H196" s="49"/>
      <c r="I196" s="87"/>
      <c r="J196" s="49"/>
      <c r="K196" s="126"/>
      <c r="L196" s="49"/>
      <c r="M196" s="49"/>
      <c r="N196" s="49"/>
      <c r="O196" s="49"/>
      <c r="Q196" s="61"/>
      <c r="S196" s="71"/>
      <c r="T196" s="58"/>
      <c r="V196" s="48"/>
    </row>
    <row r="200" spans="1:26" x14ac:dyDescent="0.25">
      <c r="B200" s="72" t="s">
        <v>186</v>
      </c>
      <c r="G200" s="137" t="s">
        <v>67</v>
      </c>
      <c r="H200" s="40" t="s">
        <v>99</v>
      </c>
      <c r="I200" s="37" t="s">
        <v>114</v>
      </c>
      <c r="J200" s="92" t="s">
        <v>374</v>
      </c>
      <c r="K200" s="91" t="s">
        <v>115</v>
      </c>
      <c r="L200" s="138" t="s">
        <v>116</v>
      </c>
      <c r="M200" s="139" t="s">
        <v>117</v>
      </c>
      <c r="N200" s="65" t="s">
        <v>118</v>
      </c>
      <c r="O200" s="45" t="s">
        <v>19</v>
      </c>
      <c r="Q200" s="50" t="s">
        <v>20</v>
      </c>
    </row>
    <row r="201" spans="1:26" x14ac:dyDescent="0.25">
      <c r="B201" t="s">
        <v>185</v>
      </c>
      <c r="G201" s="147"/>
      <c r="H201" s="148"/>
      <c r="I201" s="149"/>
      <c r="J201" s="150"/>
      <c r="K201" s="151"/>
      <c r="L201" s="147"/>
      <c r="M201" s="147"/>
      <c r="N201" s="152"/>
      <c r="O201" s="153"/>
      <c r="Q201" s="156" t="s">
        <v>11</v>
      </c>
    </row>
    <row r="202" spans="1:26" x14ac:dyDescent="0.25">
      <c r="B202" t="s">
        <v>99</v>
      </c>
      <c r="C202" s="145" t="s">
        <v>594</v>
      </c>
      <c r="D202" s="145"/>
      <c r="F202" t="s">
        <v>177</v>
      </c>
      <c r="G202" s="100">
        <v>12</v>
      </c>
      <c r="H202" s="86">
        <v>15</v>
      </c>
      <c r="I202" s="86">
        <v>12</v>
      </c>
      <c r="J202" s="155">
        <v>10</v>
      </c>
      <c r="K202" s="86">
        <v>7</v>
      </c>
      <c r="L202" s="86">
        <v>8</v>
      </c>
      <c r="M202" s="86">
        <v>10</v>
      </c>
      <c r="N202" s="86">
        <v>15</v>
      </c>
      <c r="O202" s="55">
        <v>15</v>
      </c>
      <c r="Q202" s="59">
        <f>SUBTOTAL(9,G202:O202)</f>
        <v>104</v>
      </c>
    </row>
    <row r="203" spans="1:26" x14ac:dyDescent="0.25">
      <c r="B203" t="s">
        <v>98</v>
      </c>
      <c r="C203" s="145" t="s">
        <v>594</v>
      </c>
      <c r="D203" s="145"/>
      <c r="F203" t="s">
        <v>179</v>
      </c>
      <c r="G203" s="101">
        <v>10</v>
      </c>
      <c r="H203" s="75">
        <v>7</v>
      </c>
      <c r="I203" s="75">
        <v>15</v>
      </c>
      <c r="J203" s="75">
        <v>12</v>
      </c>
      <c r="K203" s="75">
        <v>12</v>
      </c>
      <c r="L203" s="75">
        <v>12</v>
      </c>
      <c r="M203" s="75">
        <v>12</v>
      </c>
      <c r="N203" s="75">
        <v>12</v>
      </c>
      <c r="O203" s="57">
        <v>12</v>
      </c>
      <c r="Q203" s="60">
        <f>SUBTOTAL(9,G203:O203)</f>
        <v>104</v>
      </c>
    </row>
    <row r="204" spans="1:26" x14ac:dyDescent="0.25">
      <c r="B204" t="s">
        <v>66</v>
      </c>
      <c r="C204" s="146">
        <v>3</v>
      </c>
      <c r="F204" t="s">
        <v>182</v>
      </c>
      <c r="G204" s="101">
        <v>15</v>
      </c>
      <c r="H204" s="75">
        <v>8</v>
      </c>
      <c r="I204" s="75">
        <v>10</v>
      </c>
      <c r="J204" s="75">
        <v>15</v>
      </c>
      <c r="K204" s="75">
        <v>10</v>
      </c>
      <c r="L204" s="75">
        <v>15</v>
      </c>
      <c r="M204" s="75">
        <v>8</v>
      </c>
      <c r="N204" s="75">
        <v>7</v>
      </c>
      <c r="O204" s="57">
        <v>10</v>
      </c>
      <c r="Q204" s="60">
        <f t="shared" ref="Q204:Q213" si="23">SUBTOTAL(9,G204:O204)</f>
        <v>98</v>
      </c>
    </row>
    <row r="205" spans="1:26" x14ac:dyDescent="0.25">
      <c r="B205" t="s">
        <v>175</v>
      </c>
      <c r="C205" s="146">
        <v>4</v>
      </c>
      <c r="F205" t="s">
        <v>183</v>
      </c>
      <c r="G205" s="101">
        <f>SUMIF(F$6:F$115,B205,G$6:G$115)</f>
        <v>0</v>
      </c>
      <c r="H205" s="75">
        <v>12</v>
      </c>
      <c r="I205" s="75">
        <v>7</v>
      </c>
      <c r="J205" s="154">
        <v>8</v>
      </c>
      <c r="K205" s="75">
        <v>15</v>
      </c>
      <c r="L205" s="75"/>
      <c r="M205" s="75">
        <v>15</v>
      </c>
      <c r="N205" s="75">
        <v>10</v>
      </c>
      <c r="O205" s="57">
        <v>6</v>
      </c>
      <c r="Q205" s="60">
        <f t="shared" si="23"/>
        <v>73</v>
      </c>
    </row>
    <row r="206" spans="1:26" x14ac:dyDescent="0.25">
      <c r="B206" t="s">
        <v>68</v>
      </c>
      <c r="C206" s="146">
        <v>5</v>
      </c>
      <c r="F206" t="s">
        <v>178</v>
      </c>
      <c r="G206" s="101">
        <v>8</v>
      </c>
      <c r="H206" s="75">
        <v>10</v>
      </c>
      <c r="I206" s="75">
        <v>8</v>
      </c>
      <c r="J206" s="154">
        <v>8</v>
      </c>
      <c r="K206" s="75">
        <v>6</v>
      </c>
      <c r="L206" s="75">
        <v>6</v>
      </c>
      <c r="M206" s="75">
        <v>7</v>
      </c>
      <c r="N206" s="75">
        <v>8</v>
      </c>
      <c r="O206" s="57">
        <v>8</v>
      </c>
      <c r="Q206" s="60">
        <f t="shared" si="23"/>
        <v>69</v>
      </c>
    </row>
    <row r="207" spans="1:26" x14ac:dyDescent="0.25">
      <c r="B207" t="s">
        <v>100</v>
      </c>
      <c r="C207" s="146">
        <v>6</v>
      </c>
      <c r="F207" t="s">
        <v>181</v>
      </c>
      <c r="G207" s="101">
        <v>6</v>
      </c>
      <c r="H207" s="75">
        <v>3</v>
      </c>
      <c r="I207" s="75">
        <v>5</v>
      </c>
      <c r="J207" s="116">
        <v>8</v>
      </c>
      <c r="K207" s="75">
        <v>5</v>
      </c>
      <c r="L207" s="75">
        <v>7</v>
      </c>
      <c r="M207" s="75">
        <v>6</v>
      </c>
      <c r="N207" s="75">
        <v>6</v>
      </c>
      <c r="O207" s="57">
        <v>7</v>
      </c>
      <c r="Q207" s="60">
        <f t="shared" si="23"/>
        <v>53</v>
      </c>
    </row>
    <row r="208" spans="1:26" x14ac:dyDescent="0.25">
      <c r="B208" t="s">
        <v>376</v>
      </c>
      <c r="C208" s="146">
        <v>7</v>
      </c>
      <c r="F208" t="s">
        <v>182</v>
      </c>
      <c r="G208" s="101">
        <v>7</v>
      </c>
      <c r="H208" s="75">
        <v>5</v>
      </c>
      <c r="I208" s="75">
        <v>6</v>
      </c>
      <c r="J208" s="75">
        <v>10</v>
      </c>
      <c r="K208" s="75"/>
      <c r="L208" s="75">
        <v>10</v>
      </c>
      <c r="M208" s="75">
        <v>5</v>
      </c>
      <c r="N208" s="75">
        <v>5</v>
      </c>
      <c r="O208" s="57"/>
      <c r="Q208" s="60">
        <f t="shared" si="23"/>
        <v>48</v>
      </c>
    </row>
    <row r="209" spans="2:17" x14ac:dyDescent="0.25">
      <c r="B209" t="s">
        <v>172</v>
      </c>
      <c r="C209" s="146">
        <v>8</v>
      </c>
      <c r="F209" t="s">
        <v>178</v>
      </c>
      <c r="G209" s="101">
        <v>5</v>
      </c>
      <c r="H209" s="75">
        <v>2</v>
      </c>
      <c r="I209" s="75"/>
      <c r="J209" s="116">
        <v>7</v>
      </c>
      <c r="K209" s="75">
        <v>8</v>
      </c>
      <c r="L209" s="75"/>
      <c r="M209" s="75"/>
      <c r="N209" s="75"/>
      <c r="O209" s="57"/>
      <c r="Q209" s="60">
        <f t="shared" si="23"/>
        <v>22</v>
      </c>
    </row>
    <row r="210" spans="2:17" x14ac:dyDescent="0.25">
      <c r="B210" t="s">
        <v>171</v>
      </c>
      <c r="C210" s="146">
        <v>9</v>
      </c>
      <c r="F210" t="s">
        <v>210</v>
      </c>
      <c r="G210" s="101">
        <f>SUMIF(F$6:F$115,B210,G$6:G$115)</f>
        <v>0</v>
      </c>
      <c r="H210" s="75">
        <v>4</v>
      </c>
      <c r="I210" s="75">
        <v>4</v>
      </c>
      <c r="J210" s="154">
        <v>4</v>
      </c>
      <c r="K210" s="75"/>
      <c r="L210" s="75"/>
      <c r="M210" s="75">
        <v>4</v>
      </c>
      <c r="N210" s="75"/>
      <c r="O210" s="57">
        <v>5</v>
      </c>
      <c r="Q210" s="60">
        <f t="shared" si="23"/>
        <v>21</v>
      </c>
    </row>
    <row r="211" spans="2:17" x14ac:dyDescent="0.25">
      <c r="B211" t="s">
        <v>170</v>
      </c>
      <c r="C211" s="146">
        <v>10</v>
      </c>
      <c r="F211" t="s">
        <v>176</v>
      </c>
      <c r="G211" s="101">
        <f>SUMIF(F$6:F$115,B211,G$6:G$115)</f>
        <v>0</v>
      </c>
      <c r="H211" s="75">
        <v>6</v>
      </c>
      <c r="I211" s="75"/>
      <c r="J211" s="154">
        <v>6</v>
      </c>
      <c r="K211" s="75"/>
      <c r="L211" s="75"/>
      <c r="M211" s="75"/>
      <c r="N211" s="75"/>
      <c r="O211" s="57"/>
      <c r="Q211" s="60">
        <f t="shared" si="23"/>
        <v>12</v>
      </c>
    </row>
    <row r="212" spans="2:17" x14ac:dyDescent="0.25">
      <c r="B212" t="s">
        <v>174</v>
      </c>
      <c r="C212" s="146">
        <v>11</v>
      </c>
      <c r="F212" t="s">
        <v>179</v>
      </c>
      <c r="G212" s="101">
        <f>SUMIF(F$6:F$115,B212,G$6:G$115)</f>
        <v>0</v>
      </c>
      <c r="H212" s="75">
        <v>0</v>
      </c>
      <c r="I212" s="75"/>
      <c r="J212" s="75"/>
      <c r="K212" s="75"/>
      <c r="L212" s="75"/>
      <c r="M212" s="75"/>
      <c r="N212" s="75"/>
      <c r="O212" s="57">
        <v>4</v>
      </c>
      <c r="Q212" s="60">
        <f t="shared" si="23"/>
        <v>4</v>
      </c>
    </row>
    <row r="213" spans="2:17" x14ac:dyDescent="0.25">
      <c r="B213" t="s">
        <v>173</v>
      </c>
      <c r="C213" s="146">
        <v>12</v>
      </c>
      <c r="F213" t="s">
        <v>180</v>
      </c>
      <c r="G213" s="102">
        <f>SUMIF(F$6:F$115,B213,G$6:G$115)</f>
        <v>0</v>
      </c>
      <c r="H213" s="103">
        <v>0</v>
      </c>
      <c r="I213" s="103"/>
      <c r="J213" s="103"/>
      <c r="K213" s="103"/>
      <c r="L213" s="103"/>
      <c r="M213" s="103"/>
      <c r="N213" s="103"/>
      <c r="O213" s="58"/>
      <c r="Q213" s="61">
        <f t="shared" si="23"/>
        <v>0</v>
      </c>
    </row>
    <row r="214" spans="2:17" x14ac:dyDescent="0.25">
      <c r="G214" s="6" t="s">
        <v>7</v>
      </c>
    </row>
    <row r="218" spans="2:17" x14ac:dyDescent="0.25">
      <c r="F218"/>
    </row>
    <row r="219" spans="2:17" x14ac:dyDescent="0.25">
      <c r="F219"/>
      <c r="J219" s="10"/>
    </row>
    <row r="220" spans="2:17" x14ac:dyDescent="0.25">
      <c r="F220"/>
    </row>
    <row r="221" spans="2:17" x14ac:dyDescent="0.25">
      <c r="F221"/>
    </row>
    <row r="222" spans="2:17" x14ac:dyDescent="0.25">
      <c r="F222" s="4"/>
    </row>
    <row r="223" spans="2:17" x14ac:dyDescent="0.25">
      <c r="F223" s="4"/>
    </row>
  </sheetData>
  <sheetProtection algorithmName="SHA-512" hashValue="iC+5ZmHTuI6parJ1HotjJAtfwLwvl9qxFg4ns3wbQBtinegwF+PzwT/bK4/YE6izwtkbbhugYznO917uU/ft0w==" saltValue="uiic2Zv5vHtbQ9d1MHoFng==" spinCount="100000" sheet="1" objects="1" scenarios="1"/>
  <sortState xmlns:xlrd2="http://schemas.microsoft.com/office/spreadsheetml/2017/richdata2" ref="B202:Q213">
    <sortCondition descending="1" ref="Q202:Q213"/>
  </sortState>
  <mergeCells count="4">
    <mergeCell ref="S1:T1"/>
    <mergeCell ref="G200:G201"/>
    <mergeCell ref="L200:L201"/>
    <mergeCell ref="M200:M201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8E75C-EB1A-4107-905F-725712D708AE}">
  <sheetPr>
    <tabColor rgb="FF92D050"/>
  </sheetPr>
  <dimension ref="A1:V56"/>
  <sheetViews>
    <sheetView workbookViewId="0">
      <selection activeCell="T27" sqref="T27"/>
    </sheetView>
  </sheetViews>
  <sheetFormatPr defaultRowHeight="15" x14ac:dyDescent="0.25"/>
  <cols>
    <col min="1" max="1" width="23.140625" bestFit="1" customWidth="1"/>
    <col min="2" max="2" width="20.5703125" bestFit="1" customWidth="1"/>
    <col min="3" max="3" width="9.85546875" bestFit="1" customWidth="1"/>
    <col min="4" max="4" width="14.140625" bestFit="1" customWidth="1"/>
    <col min="5" max="5" width="22.28515625" bestFit="1" customWidth="1"/>
    <col min="6" max="6" width="5.7109375" bestFit="1" customWidth="1"/>
    <col min="7" max="7" width="2.42578125" customWidth="1"/>
    <col min="8" max="8" width="8.28515625" bestFit="1" customWidth="1"/>
    <col min="9" max="9" width="6" style="4" bestFit="1" customWidth="1"/>
    <col min="10" max="10" width="13.28515625" style="4" bestFit="1" customWidth="1"/>
    <col min="11" max="11" width="3" customWidth="1"/>
    <col min="12" max="13" width="5.7109375" bestFit="1" customWidth="1"/>
    <col min="14" max="14" width="6.140625" bestFit="1" customWidth="1"/>
    <col min="15" max="15" width="8.140625" bestFit="1" customWidth="1"/>
    <col min="16" max="16" width="9.5703125" bestFit="1" customWidth="1"/>
    <col min="17" max="17" width="3.28515625" customWidth="1"/>
    <col min="20" max="20" width="19.140625" bestFit="1" customWidth="1"/>
  </cols>
  <sheetData>
    <row r="1" spans="1:22" ht="15.75" x14ac:dyDescent="0.25">
      <c r="A1" t="s">
        <v>47</v>
      </c>
      <c r="H1" s="141" t="s">
        <v>112</v>
      </c>
      <c r="I1" s="141"/>
      <c r="J1" s="141"/>
      <c r="K1" s="141"/>
      <c r="L1" s="141"/>
      <c r="M1" s="141"/>
      <c r="N1" s="141"/>
      <c r="O1" s="141"/>
      <c r="P1" s="141"/>
      <c r="T1" t="s">
        <v>99</v>
      </c>
      <c r="U1" s="4">
        <v>455.86</v>
      </c>
      <c r="V1">
        <v>15</v>
      </c>
    </row>
    <row r="2" spans="1:22" x14ac:dyDescent="0.25">
      <c r="A2" t="s">
        <v>48</v>
      </c>
      <c r="E2" s="35" t="s">
        <v>113</v>
      </c>
      <c r="T2" t="s">
        <v>98</v>
      </c>
      <c r="U2" s="4">
        <v>450.59</v>
      </c>
      <c r="V2">
        <v>12</v>
      </c>
    </row>
    <row r="3" spans="1:22" x14ac:dyDescent="0.25">
      <c r="A3" t="s">
        <v>65</v>
      </c>
      <c r="E3" s="35" t="s">
        <v>104</v>
      </c>
      <c r="T3" t="s">
        <v>66</v>
      </c>
      <c r="U3" s="4">
        <v>429.51</v>
      </c>
      <c r="V3">
        <v>10</v>
      </c>
    </row>
    <row r="4" spans="1:22" x14ac:dyDescent="0.25">
      <c r="A4" t="s">
        <v>52</v>
      </c>
      <c r="E4" s="1" t="s">
        <v>298</v>
      </c>
      <c r="T4" t="s">
        <v>68</v>
      </c>
      <c r="U4" s="4">
        <v>65.88</v>
      </c>
      <c r="V4">
        <v>8</v>
      </c>
    </row>
    <row r="5" spans="1:22" x14ac:dyDescent="0.25">
      <c r="A5" t="s">
        <v>50</v>
      </c>
      <c r="E5" s="1">
        <v>70</v>
      </c>
      <c r="T5" t="s">
        <v>100</v>
      </c>
      <c r="U5" s="4">
        <v>60.61</v>
      </c>
      <c r="V5">
        <v>7</v>
      </c>
    </row>
    <row r="6" spans="1:22" x14ac:dyDescent="0.25">
      <c r="A6" t="s">
        <v>51</v>
      </c>
      <c r="E6" s="1">
        <v>55</v>
      </c>
      <c r="T6" t="s">
        <v>175</v>
      </c>
      <c r="U6" s="4">
        <v>36.89</v>
      </c>
      <c r="V6">
        <v>6</v>
      </c>
    </row>
    <row r="7" spans="1:22" x14ac:dyDescent="0.25">
      <c r="D7" s="1"/>
      <c r="T7" t="s">
        <v>171</v>
      </c>
      <c r="U7" s="4">
        <v>26.35</v>
      </c>
      <c r="V7">
        <v>5</v>
      </c>
    </row>
    <row r="8" spans="1:22" x14ac:dyDescent="0.25">
      <c r="A8" s="36" t="s">
        <v>44</v>
      </c>
      <c r="B8" s="96" t="s">
        <v>483</v>
      </c>
      <c r="C8" s="74" t="s">
        <v>46</v>
      </c>
      <c r="D8" s="18" t="s">
        <v>55</v>
      </c>
      <c r="E8" s="18" t="s">
        <v>56</v>
      </c>
      <c r="F8" s="19" t="s">
        <v>57</v>
      </c>
      <c r="H8" s="142" t="s">
        <v>53</v>
      </c>
      <c r="I8" s="140"/>
      <c r="J8" s="143"/>
      <c r="K8" s="2"/>
      <c r="L8" s="27" t="s">
        <v>54</v>
      </c>
      <c r="M8" s="30"/>
      <c r="N8" s="140" t="s">
        <v>8</v>
      </c>
      <c r="O8" s="140"/>
      <c r="P8" s="31"/>
      <c r="T8" t="s">
        <v>174</v>
      </c>
      <c r="U8" s="4">
        <v>5.27</v>
      </c>
      <c r="V8">
        <v>4</v>
      </c>
    </row>
    <row r="9" spans="1:22" x14ac:dyDescent="0.25">
      <c r="H9" s="20" t="s">
        <v>36</v>
      </c>
      <c r="I9" s="21" t="s">
        <v>38</v>
      </c>
      <c r="J9" s="22" t="s">
        <v>0</v>
      </c>
      <c r="K9" s="7"/>
      <c r="L9" s="28"/>
      <c r="M9" s="32" t="s">
        <v>0</v>
      </c>
      <c r="N9" s="21" t="s">
        <v>9</v>
      </c>
      <c r="O9" s="21" t="s">
        <v>5</v>
      </c>
      <c r="P9" s="33" t="s">
        <v>11</v>
      </c>
      <c r="U9" s="4"/>
    </row>
    <row r="10" spans="1:22" x14ac:dyDescent="0.25">
      <c r="H10" s="23" t="s">
        <v>37</v>
      </c>
      <c r="I10" s="24"/>
      <c r="J10" s="25" t="s">
        <v>39</v>
      </c>
      <c r="K10" s="6"/>
      <c r="L10" s="29"/>
      <c r="M10" s="34"/>
      <c r="N10" s="24"/>
      <c r="O10" s="24"/>
      <c r="P10" s="25"/>
      <c r="R10" s="7" t="s">
        <v>169</v>
      </c>
      <c r="U10" s="4"/>
    </row>
    <row r="11" spans="1:22" x14ac:dyDescent="0.25">
      <c r="U11" s="4"/>
    </row>
    <row r="12" spans="1:22" x14ac:dyDescent="0.25">
      <c r="A12" s="80" t="s">
        <v>22</v>
      </c>
      <c r="B12" s="12" t="str">
        <f>VLOOKUP(A12,concorrenti!A:B,2,0)</f>
        <v>VAMS</v>
      </c>
      <c r="C12" s="12">
        <f>VLOOKUP(A12,concorrenti!A:E,5,1)</f>
        <v>0</v>
      </c>
      <c r="D12" t="s">
        <v>121</v>
      </c>
      <c r="E12" s="80" t="s">
        <v>123</v>
      </c>
      <c r="F12" s="80">
        <v>1937</v>
      </c>
      <c r="H12" s="80">
        <v>272</v>
      </c>
      <c r="I12" s="4">
        <f>1+RIGHT(F12,2)/100</f>
        <v>1.37</v>
      </c>
      <c r="J12" s="4">
        <f t="shared" ref="J12:J52" si="0">+I12*H12</f>
        <v>372.64000000000004</v>
      </c>
      <c r="L12">
        <v>1</v>
      </c>
      <c r="M12">
        <f>VLOOKUP(L12,Regolamento!A:B,2,1)</f>
        <v>50</v>
      </c>
      <c r="N12" s="4">
        <f t="shared" ref="N12:N52" si="1">1+E$5/100</f>
        <v>1.7</v>
      </c>
      <c r="O12" s="4">
        <f t="shared" ref="O12:O52" si="2">1+E$6/100</f>
        <v>1.55</v>
      </c>
      <c r="P12" s="6">
        <f t="shared" ref="P12:P52" si="3">IF(H12&lt;&gt;0,+M12*N12*O12,0)</f>
        <v>131.75</v>
      </c>
      <c r="R12" s="6">
        <f t="shared" ref="R12:R52" si="4">+H12/E$5</f>
        <v>3.8857142857142857</v>
      </c>
    </row>
    <row r="13" spans="1:22" x14ac:dyDescent="0.25">
      <c r="A13" s="80" t="s">
        <v>190</v>
      </c>
      <c r="B13" s="12" t="str">
        <f>VLOOKUP(A13,concorrenti!A:B,2,0)</f>
        <v>CASTELLOTTI</v>
      </c>
      <c r="C13" s="12" t="str">
        <f>VLOOKUP(A13,concorrenti!A:E,5,1)</f>
        <v>X</v>
      </c>
      <c r="D13" t="s">
        <v>121</v>
      </c>
      <c r="E13" s="80" t="s">
        <v>579</v>
      </c>
      <c r="F13" s="80">
        <v>1976</v>
      </c>
      <c r="H13" s="80">
        <v>230</v>
      </c>
      <c r="I13" s="4">
        <f>IF(C13&lt;&gt;0,((1+RIGHT(F13,2)/100)-0.1),(1+RIGHT(F13,2)/100))</f>
        <v>1.66</v>
      </c>
      <c r="J13" s="4">
        <f t="shared" si="0"/>
        <v>381.79999999999995</v>
      </c>
      <c r="L13">
        <v>2</v>
      </c>
      <c r="M13">
        <f>VLOOKUP(L13,Regolamento!A:B,2,1)</f>
        <v>45</v>
      </c>
      <c r="N13" s="4">
        <f t="shared" si="1"/>
        <v>1.7</v>
      </c>
      <c r="O13" s="4">
        <f t="shared" si="2"/>
        <v>1.55</v>
      </c>
      <c r="P13" s="6">
        <f t="shared" si="3"/>
        <v>118.575</v>
      </c>
      <c r="R13" s="6">
        <f t="shared" si="4"/>
        <v>3.2857142857142856</v>
      </c>
    </row>
    <row r="14" spans="1:22" x14ac:dyDescent="0.25">
      <c r="A14" s="80" t="s">
        <v>217</v>
      </c>
      <c r="B14" s="12" t="str">
        <f>VLOOKUP(A14,concorrenti!A:B,2,0)</f>
        <v>OROBICO</v>
      </c>
      <c r="C14" s="12" t="str">
        <f>VLOOKUP(A14,concorrenti!A:E,5,1)</f>
        <v>X</v>
      </c>
      <c r="D14" t="s">
        <v>232</v>
      </c>
      <c r="E14" s="80" t="s">
        <v>282</v>
      </c>
      <c r="F14" s="80">
        <v>1972</v>
      </c>
      <c r="H14" s="80">
        <v>244</v>
      </c>
      <c r="I14" s="4">
        <f>IF(C14&lt;&gt;0,((1+RIGHT(F14,2)/100)-0.1),(1+RIGHT(F14,2)/100))</f>
        <v>1.6199999999999999</v>
      </c>
      <c r="J14" s="4">
        <f t="shared" si="0"/>
        <v>395.28</v>
      </c>
      <c r="L14">
        <v>3</v>
      </c>
      <c r="M14">
        <f>VLOOKUP(L14,Regolamento!A:B,2,1)</f>
        <v>41</v>
      </c>
      <c r="N14" s="4">
        <f t="shared" si="1"/>
        <v>1.7</v>
      </c>
      <c r="O14" s="4">
        <f t="shared" si="2"/>
        <v>1.55</v>
      </c>
      <c r="P14" s="6">
        <f t="shared" si="3"/>
        <v>108.03500000000001</v>
      </c>
      <c r="R14" s="6">
        <f t="shared" si="4"/>
        <v>3.4857142857142858</v>
      </c>
    </row>
    <row r="15" spans="1:22" x14ac:dyDescent="0.25">
      <c r="A15" s="80" t="s">
        <v>311</v>
      </c>
      <c r="B15" s="12" t="str">
        <f>VLOOKUP(A15,concorrenti!A:B,2,0)</f>
        <v>OROBICO</v>
      </c>
      <c r="C15" s="12" t="str">
        <f>VLOOKUP(A15,concorrenti!A:E,5,1)</f>
        <v>X</v>
      </c>
      <c r="D15" t="s">
        <v>121</v>
      </c>
      <c r="E15" s="80" t="s">
        <v>580</v>
      </c>
      <c r="F15" s="80">
        <v>1956</v>
      </c>
      <c r="H15" s="80">
        <v>306</v>
      </c>
      <c r="I15" s="4">
        <f>IF(C15&lt;&gt;0,((1+RIGHT(F15,2)/100)-0.1),(1+RIGHT(F15,2)/100))</f>
        <v>1.46</v>
      </c>
      <c r="J15" s="4">
        <f t="shared" si="0"/>
        <v>446.76</v>
      </c>
      <c r="L15">
        <v>4</v>
      </c>
      <c r="M15">
        <f>VLOOKUP(L15,Regolamento!A:B,2,1)</f>
        <v>38</v>
      </c>
      <c r="N15" s="4">
        <f t="shared" si="1"/>
        <v>1.7</v>
      </c>
      <c r="O15" s="4">
        <f t="shared" si="2"/>
        <v>1.55</v>
      </c>
      <c r="P15" s="6">
        <f t="shared" si="3"/>
        <v>100.13</v>
      </c>
      <c r="R15" s="6">
        <f t="shared" si="4"/>
        <v>4.371428571428571</v>
      </c>
    </row>
    <row r="16" spans="1:22" x14ac:dyDescent="0.25">
      <c r="A16" s="80" t="s">
        <v>566</v>
      </c>
      <c r="B16" s="12" t="str">
        <f>VLOOKUP(A16,concorrenti!A:B,2,0)</f>
        <v>VAMS</v>
      </c>
      <c r="C16" s="12">
        <f>VLOOKUP(A16,concorrenti!A:E,5,1)</f>
        <v>0</v>
      </c>
      <c r="D16" t="s">
        <v>234</v>
      </c>
      <c r="E16" s="80" t="s">
        <v>287</v>
      </c>
      <c r="F16" s="80">
        <v>1982</v>
      </c>
      <c r="H16" s="80">
        <v>261</v>
      </c>
      <c r="I16" s="4">
        <f t="shared" ref="I16:I52" si="5">1+RIGHT(F16,2)/100</f>
        <v>1.8199999999999998</v>
      </c>
      <c r="J16" s="4">
        <f t="shared" si="0"/>
        <v>475.02</v>
      </c>
      <c r="L16">
        <v>5</v>
      </c>
      <c r="M16">
        <f>VLOOKUP(L16,Regolamento!A:B,2,1)</f>
        <v>36</v>
      </c>
      <c r="N16" s="4">
        <f t="shared" si="1"/>
        <v>1.7</v>
      </c>
      <c r="O16" s="4">
        <f t="shared" si="2"/>
        <v>1.55</v>
      </c>
      <c r="P16" s="6">
        <f t="shared" si="3"/>
        <v>94.86</v>
      </c>
      <c r="R16" s="6">
        <f t="shared" si="4"/>
        <v>3.7285714285714286</v>
      </c>
    </row>
    <row r="17" spans="1:18" x14ac:dyDescent="0.25">
      <c r="A17" s="8" t="s">
        <v>23</v>
      </c>
      <c r="B17" s="12" t="str">
        <f>VLOOKUP(A17,concorrenti!A:B,2,0)</f>
        <v>CASTELLOTTI</v>
      </c>
      <c r="C17" s="12">
        <f>VLOOKUP(A17,concorrenti!A:E,5,1)</f>
        <v>0</v>
      </c>
      <c r="D17" t="s">
        <v>234</v>
      </c>
      <c r="E17" s="80" t="s">
        <v>287</v>
      </c>
      <c r="F17" s="80">
        <v>1976</v>
      </c>
      <c r="H17" s="80">
        <v>308</v>
      </c>
      <c r="I17" s="4">
        <f t="shared" si="5"/>
        <v>1.76</v>
      </c>
      <c r="J17" s="4">
        <f t="shared" si="0"/>
        <v>542.08000000000004</v>
      </c>
      <c r="K17" s="9"/>
      <c r="L17">
        <v>6</v>
      </c>
      <c r="M17">
        <f>VLOOKUP(L17,Regolamento!A:B,2,1)</f>
        <v>35</v>
      </c>
      <c r="N17" s="4">
        <f t="shared" si="1"/>
        <v>1.7</v>
      </c>
      <c r="O17" s="4">
        <f t="shared" si="2"/>
        <v>1.55</v>
      </c>
      <c r="P17" s="6">
        <f t="shared" si="3"/>
        <v>92.225000000000009</v>
      </c>
      <c r="R17" s="6">
        <f t="shared" si="4"/>
        <v>4.4000000000000004</v>
      </c>
    </row>
    <row r="18" spans="1:18" x14ac:dyDescent="0.25">
      <c r="A18" s="80" t="s">
        <v>76</v>
      </c>
      <c r="B18" s="12" t="str">
        <f>VLOOKUP(A18,concorrenti!A:B,2,0)</f>
        <v>CASTELLOTTI</v>
      </c>
      <c r="C18" s="12">
        <f>VLOOKUP(A18,concorrenti!A:E,5,1)</f>
        <v>0</v>
      </c>
      <c r="D18" t="s">
        <v>121</v>
      </c>
      <c r="E18" s="80" t="s">
        <v>250</v>
      </c>
      <c r="F18" s="80">
        <v>1970</v>
      </c>
      <c r="H18" s="80">
        <v>332</v>
      </c>
      <c r="I18" s="4">
        <f t="shared" si="5"/>
        <v>1.7</v>
      </c>
      <c r="J18" s="4">
        <f t="shared" si="0"/>
        <v>564.4</v>
      </c>
      <c r="L18">
        <v>7</v>
      </c>
      <c r="M18">
        <f>VLOOKUP(L18,Regolamento!A:B,2,1)</f>
        <v>34</v>
      </c>
      <c r="N18" s="4">
        <f t="shared" si="1"/>
        <v>1.7</v>
      </c>
      <c r="O18" s="4">
        <f t="shared" si="2"/>
        <v>1.55</v>
      </c>
      <c r="P18" s="6">
        <f t="shared" si="3"/>
        <v>89.59</v>
      </c>
      <c r="R18" s="6">
        <f t="shared" si="4"/>
        <v>4.7428571428571429</v>
      </c>
    </row>
    <row r="19" spans="1:18" x14ac:dyDescent="0.25">
      <c r="A19" s="80" t="s">
        <v>304</v>
      </c>
      <c r="B19" s="12" t="str">
        <f>VLOOKUP(A19,concorrenti!A:B,2,0)</f>
        <v>OROBICO</v>
      </c>
      <c r="C19" s="12">
        <f>VLOOKUP(A19,concorrenti!A:E,5,1)</f>
        <v>0</v>
      </c>
      <c r="D19" t="s">
        <v>236</v>
      </c>
      <c r="E19" s="80" t="s">
        <v>319</v>
      </c>
      <c r="F19" s="80">
        <v>1954</v>
      </c>
      <c r="H19" s="80">
        <v>389</v>
      </c>
      <c r="I19" s="4">
        <f t="shared" si="5"/>
        <v>1.54</v>
      </c>
      <c r="J19" s="4">
        <f t="shared" si="0"/>
        <v>599.06000000000006</v>
      </c>
      <c r="L19">
        <v>8</v>
      </c>
      <c r="M19">
        <f>VLOOKUP(L19,Regolamento!A:B,2,1)</f>
        <v>33</v>
      </c>
      <c r="N19" s="4">
        <f t="shared" si="1"/>
        <v>1.7</v>
      </c>
      <c r="O19" s="4">
        <f t="shared" si="2"/>
        <v>1.55</v>
      </c>
      <c r="P19" s="6">
        <f t="shared" si="3"/>
        <v>86.954999999999998</v>
      </c>
      <c r="R19" s="6">
        <f t="shared" si="4"/>
        <v>5.5571428571428569</v>
      </c>
    </row>
    <row r="20" spans="1:18" x14ac:dyDescent="0.25">
      <c r="A20" s="80" t="s">
        <v>69</v>
      </c>
      <c r="B20" s="12" t="str">
        <f>VLOOKUP(A20,concorrenti!A:B,2,0)</f>
        <v>CASTELLOTTI</v>
      </c>
      <c r="C20" s="12">
        <f>VLOOKUP(A20,concorrenti!A:E,5,1)</f>
        <v>0</v>
      </c>
      <c r="D20" t="s">
        <v>121</v>
      </c>
      <c r="E20" s="80" t="s">
        <v>371</v>
      </c>
      <c r="F20" s="80">
        <v>1980</v>
      </c>
      <c r="G20" s="9"/>
      <c r="H20" s="80">
        <v>333</v>
      </c>
      <c r="I20" s="4">
        <f t="shared" si="5"/>
        <v>1.8</v>
      </c>
      <c r="J20" s="4">
        <f t="shared" si="0"/>
        <v>599.4</v>
      </c>
      <c r="L20">
        <v>9</v>
      </c>
      <c r="M20">
        <f>VLOOKUP(L20,Regolamento!A:B,2,1)</f>
        <v>32</v>
      </c>
      <c r="N20" s="4">
        <f t="shared" si="1"/>
        <v>1.7</v>
      </c>
      <c r="O20" s="4">
        <f t="shared" si="2"/>
        <v>1.55</v>
      </c>
      <c r="P20" s="6">
        <f t="shared" si="3"/>
        <v>84.32</v>
      </c>
      <c r="R20" s="6">
        <f t="shared" si="4"/>
        <v>4.7571428571428571</v>
      </c>
    </row>
    <row r="21" spans="1:18" x14ac:dyDescent="0.25">
      <c r="A21" s="80" t="s">
        <v>303</v>
      </c>
      <c r="B21" s="12" t="str">
        <f>VLOOKUP(A21,concorrenti!A:B,2,0)</f>
        <v>OROBICO</v>
      </c>
      <c r="C21" s="12">
        <f>VLOOKUP(A21,concorrenti!A:E,5,1)</f>
        <v>0</v>
      </c>
      <c r="D21" t="s">
        <v>234</v>
      </c>
      <c r="E21" s="80" t="s">
        <v>317</v>
      </c>
      <c r="F21" s="80">
        <v>1973</v>
      </c>
      <c r="H21" s="80">
        <v>422</v>
      </c>
      <c r="I21" s="4">
        <f t="shared" si="5"/>
        <v>1.73</v>
      </c>
      <c r="J21" s="4">
        <f t="shared" si="0"/>
        <v>730.06</v>
      </c>
      <c r="L21">
        <v>10</v>
      </c>
      <c r="M21">
        <f>VLOOKUP(L21,Regolamento!A:B,2,1)</f>
        <v>31</v>
      </c>
      <c r="N21" s="4">
        <f t="shared" si="1"/>
        <v>1.7</v>
      </c>
      <c r="O21" s="4">
        <f t="shared" si="2"/>
        <v>1.55</v>
      </c>
      <c r="P21" s="6">
        <f t="shared" si="3"/>
        <v>81.685000000000002</v>
      </c>
      <c r="R21" s="6">
        <f t="shared" si="4"/>
        <v>6.0285714285714285</v>
      </c>
    </row>
    <row r="22" spans="1:18" x14ac:dyDescent="0.25">
      <c r="A22" s="80" t="s">
        <v>12</v>
      </c>
      <c r="B22" s="12" t="str">
        <f>VLOOKUP(A22,concorrenti!A:B,2,0)</f>
        <v>VAMS</v>
      </c>
      <c r="C22" s="12">
        <f>VLOOKUP(A22,concorrenti!A:E,5,1)</f>
        <v>0</v>
      </c>
      <c r="D22" t="s">
        <v>235</v>
      </c>
      <c r="E22" s="80">
        <v>356</v>
      </c>
      <c r="F22" s="80">
        <v>1962</v>
      </c>
      <c r="H22" s="80">
        <v>457</v>
      </c>
      <c r="I22" s="4">
        <f t="shared" si="5"/>
        <v>1.62</v>
      </c>
      <c r="J22" s="4">
        <f t="shared" si="0"/>
        <v>740.34</v>
      </c>
      <c r="L22">
        <v>11</v>
      </c>
      <c r="M22">
        <f>VLOOKUP(L22,Regolamento!A:B,2,1)</f>
        <v>30</v>
      </c>
      <c r="N22" s="4">
        <f t="shared" si="1"/>
        <v>1.7</v>
      </c>
      <c r="O22" s="4">
        <f t="shared" si="2"/>
        <v>1.55</v>
      </c>
      <c r="P22" s="6">
        <f t="shared" si="3"/>
        <v>79.05</v>
      </c>
      <c r="R22" s="6">
        <f t="shared" si="4"/>
        <v>6.5285714285714285</v>
      </c>
    </row>
    <row r="23" spans="1:18" x14ac:dyDescent="0.25">
      <c r="A23" s="80" t="s">
        <v>17</v>
      </c>
      <c r="B23" s="12" t="str">
        <f>VLOOKUP(A23,concorrenti!A:B,2,0)</f>
        <v>VAMS</v>
      </c>
      <c r="C23" s="12">
        <f>VLOOKUP(A23,concorrenti!A:E,5,1)</f>
        <v>0</v>
      </c>
      <c r="D23" t="s">
        <v>232</v>
      </c>
      <c r="E23" s="80" t="s">
        <v>581</v>
      </c>
      <c r="F23" s="80">
        <v>1972</v>
      </c>
      <c r="H23" s="80">
        <v>431</v>
      </c>
      <c r="I23" s="4">
        <f t="shared" si="5"/>
        <v>1.72</v>
      </c>
      <c r="J23" s="4">
        <f t="shared" si="0"/>
        <v>741.31999999999994</v>
      </c>
      <c r="L23">
        <v>12</v>
      </c>
      <c r="M23">
        <f>VLOOKUP(L23,Regolamento!A:B,2,1)</f>
        <v>29</v>
      </c>
      <c r="N23" s="4">
        <f t="shared" si="1"/>
        <v>1.7</v>
      </c>
      <c r="O23" s="4">
        <f t="shared" si="2"/>
        <v>1.55</v>
      </c>
      <c r="P23" s="6">
        <f t="shared" si="3"/>
        <v>76.414999999999992</v>
      </c>
      <c r="R23" s="6">
        <f t="shared" si="4"/>
        <v>6.1571428571428575</v>
      </c>
    </row>
    <row r="24" spans="1:18" x14ac:dyDescent="0.25">
      <c r="A24" s="80" t="s">
        <v>567</v>
      </c>
      <c r="B24" s="12" t="str">
        <f>VLOOKUP(A24,concorrenti!A:B,2,0)</f>
        <v>OROBICO</v>
      </c>
      <c r="C24" s="12">
        <f>VLOOKUP(A24,concorrenti!A:E,5,1)</f>
        <v>0</v>
      </c>
      <c r="D24" t="s">
        <v>235</v>
      </c>
      <c r="E24" s="80" t="s">
        <v>268</v>
      </c>
      <c r="F24" s="80">
        <v>1973</v>
      </c>
      <c r="H24" s="80">
        <v>432</v>
      </c>
      <c r="I24" s="4">
        <f t="shared" si="5"/>
        <v>1.73</v>
      </c>
      <c r="J24" s="4">
        <f t="shared" si="0"/>
        <v>747.36</v>
      </c>
      <c r="L24">
        <v>13</v>
      </c>
      <c r="M24">
        <f>VLOOKUP(L24,Regolamento!A:B,2,1)</f>
        <v>28</v>
      </c>
      <c r="N24" s="4">
        <f t="shared" si="1"/>
        <v>1.7</v>
      </c>
      <c r="O24" s="4">
        <f t="shared" si="2"/>
        <v>1.55</v>
      </c>
      <c r="P24" s="6">
        <f t="shared" si="3"/>
        <v>73.78</v>
      </c>
      <c r="R24" s="6">
        <f t="shared" si="4"/>
        <v>6.1714285714285717</v>
      </c>
    </row>
    <row r="25" spans="1:18" x14ac:dyDescent="0.25">
      <c r="A25" s="80" t="s">
        <v>189</v>
      </c>
      <c r="B25" s="12" t="str">
        <f>VLOOKUP(A25,concorrenti!A:B,2,0)</f>
        <v>CASTELLOTTI</v>
      </c>
      <c r="C25" s="12">
        <f>VLOOKUP(A25,concorrenti!A:E,5,1)</f>
        <v>0</v>
      </c>
      <c r="D25" t="s">
        <v>233</v>
      </c>
      <c r="E25" s="80" t="s">
        <v>584</v>
      </c>
      <c r="F25" s="80">
        <v>1928</v>
      </c>
      <c r="H25" s="80">
        <v>586</v>
      </c>
      <c r="I25" s="4">
        <f t="shared" si="5"/>
        <v>1.28</v>
      </c>
      <c r="J25" s="4">
        <f t="shared" si="0"/>
        <v>750.08</v>
      </c>
      <c r="L25">
        <v>14</v>
      </c>
      <c r="M25">
        <f>VLOOKUP(L25,Regolamento!A:B,2,1)</f>
        <v>27</v>
      </c>
      <c r="N25" s="4">
        <f t="shared" si="1"/>
        <v>1.7</v>
      </c>
      <c r="O25" s="4">
        <f t="shared" si="2"/>
        <v>1.55</v>
      </c>
      <c r="P25" s="6">
        <f t="shared" si="3"/>
        <v>71.144999999999996</v>
      </c>
      <c r="R25" s="6">
        <f t="shared" si="4"/>
        <v>8.3714285714285719</v>
      </c>
    </row>
    <row r="26" spans="1:18" x14ac:dyDescent="0.25">
      <c r="A26" s="80" t="s">
        <v>485</v>
      </c>
      <c r="B26" s="12" t="str">
        <f>VLOOKUP(A26,concorrenti!A:B,2,0)</f>
        <v>OROBICO</v>
      </c>
      <c r="C26" s="12">
        <f>VLOOKUP(A26,concorrenti!A:E,5,1)</f>
        <v>0</v>
      </c>
      <c r="D26" t="s">
        <v>577</v>
      </c>
      <c r="E26" s="80" t="s">
        <v>582</v>
      </c>
      <c r="F26" s="80">
        <v>1963</v>
      </c>
      <c r="H26" s="80">
        <v>466</v>
      </c>
      <c r="I26" s="4">
        <f t="shared" si="5"/>
        <v>1.63</v>
      </c>
      <c r="J26" s="4">
        <f t="shared" si="0"/>
        <v>759.57999999999993</v>
      </c>
      <c r="L26">
        <v>15</v>
      </c>
      <c r="M26">
        <f>VLOOKUP(L26,Regolamento!A:B,2,1)</f>
        <v>26</v>
      </c>
      <c r="N26" s="4">
        <f t="shared" si="1"/>
        <v>1.7</v>
      </c>
      <c r="O26" s="4">
        <f t="shared" si="2"/>
        <v>1.55</v>
      </c>
      <c r="P26" s="6">
        <f t="shared" si="3"/>
        <v>68.509999999999991</v>
      </c>
      <c r="R26" s="6">
        <f t="shared" si="4"/>
        <v>6.6571428571428575</v>
      </c>
    </row>
    <row r="27" spans="1:18" x14ac:dyDescent="0.25">
      <c r="A27" s="80" t="s">
        <v>70</v>
      </c>
      <c r="B27" s="12" t="str">
        <f>VLOOKUP(A27,concorrenti!A:B,2,0)</f>
        <v>CAVEM</v>
      </c>
      <c r="C27" s="12">
        <f>VLOOKUP(A27,concorrenti!A:E,5,1)</f>
        <v>0</v>
      </c>
      <c r="D27" t="s">
        <v>242</v>
      </c>
      <c r="E27" s="80" t="s">
        <v>276</v>
      </c>
      <c r="F27" s="80">
        <v>1974</v>
      </c>
      <c r="H27" s="80">
        <v>466</v>
      </c>
      <c r="I27" s="4">
        <f t="shared" si="5"/>
        <v>1.74</v>
      </c>
      <c r="J27" s="4">
        <f t="shared" si="0"/>
        <v>810.84</v>
      </c>
      <c r="L27">
        <v>16</v>
      </c>
      <c r="M27">
        <f>VLOOKUP(L27,Regolamento!A:B,2,1)</f>
        <v>25</v>
      </c>
      <c r="N27" s="4">
        <f t="shared" si="1"/>
        <v>1.7</v>
      </c>
      <c r="O27" s="4">
        <f t="shared" si="2"/>
        <v>1.55</v>
      </c>
      <c r="P27" s="6">
        <f t="shared" si="3"/>
        <v>65.875</v>
      </c>
      <c r="R27" s="6">
        <f t="shared" si="4"/>
        <v>6.6571428571428575</v>
      </c>
    </row>
    <row r="28" spans="1:18" x14ac:dyDescent="0.25">
      <c r="A28" s="80" t="s">
        <v>15</v>
      </c>
      <c r="B28" s="12" t="str">
        <f>VLOOKUP(A28,concorrenti!A:B,2,0)</f>
        <v>OROBICO</v>
      </c>
      <c r="C28" s="12">
        <f>VLOOKUP(A28,concorrenti!A:E,5,1)</f>
        <v>0</v>
      </c>
      <c r="D28" t="s">
        <v>236</v>
      </c>
      <c r="E28" s="80" t="s">
        <v>319</v>
      </c>
      <c r="F28" s="80">
        <v>1954</v>
      </c>
      <c r="G28" s="8"/>
      <c r="H28" s="80">
        <v>596</v>
      </c>
      <c r="I28" s="4">
        <f t="shared" si="5"/>
        <v>1.54</v>
      </c>
      <c r="J28" s="4">
        <f t="shared" si="0"/>
        <v>917.84</v>
      </c>
      <c r="L28">
        <v>17</v>
      </c>
      <c r="M28">
        <f>VLOOKUP(L28,Regolamento!A:B,2,1)</f>
        <v>24</v>
      </c>
      <c r="N28" s="4">
        <f t="shared" si="1"/>
        <v>1.7</v>
      </c>
      <c r="O28" s="4">
        <f t="shared" si="2"/>
        <v>1.55</v>
      </c>
      <c r="P28" s="6">
        <f t="shared" si="3"/>
        <v>63.239999999999995</v>
      </c>
      <c r="R28" s="6">
        <f t="shared" si="4"/>
        <v>8.5142857142857142</v>
      </c>
    </row>
    <row r="29" spans="1:18" x14ac:dyDescent="0.25">
      <c r="A29" s="80" t="s">
        <v>315</v>
      </c>
      <c r="B29" s="12" t="str">
        <f>VLOOKUP(A29,concorrenti!A:B,2,0)</f>
        <v>VALTELLINA</v>
      </c>
      <c r="C29" s="12">
        <f>VLOOKUP(A29,concorrenti!A:E,5,1)</f>
        <v>0</v>
      </c>
      <c r="D29" t="s">
        <v>232</v>
      </c>
      <c r="E29" s="80" t="s">
        <v>583</v>
      </c>
      <c r="F29" s="80">
        <v>1987</v>
      </c>
      <c r="H29" s="80">
        <v>531</v>
      </c>
      <c r="I29" s="4">
        <f t="shared" si="5"/>
        <v>1.87</v>
      </c>
      <c r="J29" s="4">
        <f t="shared" si="0"/>
        <v>992.97</v>
      </c>
      <c r="L29">
        <v>18</v>
      </c>
      <c r="M29">
        <f>VLOOKUP(L29,Regolamento!A:B,2,1)</f>
        <v>23</v>
      </c>
      <c r="N29" s="4">
        <f t="shared" si="1"/>
        <v>1.7</v>
      </c>
      <c r="O29" s="4">
        <f t="shared" si="2"/>
        <v>1.55</v>
      </c>
      <c r="P29" s="6">
        <f t="shared" si="3"/>
        <v>60.605000000000004</v>
      </c>
      <c r="R29" s="6">
        <f t="shared" si="4"/>
        <v>7.5857142857142854</v>
      </c>
    </row>
    <row r="30" spans="1:18" x14ac:dyDescent="0.25">
      <c r="A30" s="80" t="s">
        <v>218</v>
      </c>
      <c r="B30" s="12" t="str">
        <f>VLOOKUP(A30,concorrenti!A:B,2,0)</f>
        <v>OROBICO</v>
      </c>
      <c r="C30" s="12">
        <f>VLOOKUP(A30,concorrenti!A:E,5,1)</f>
        <v>0</v>
      </c>
      <c r="E30" s="80"/>
      <c r="F30" s="80">
        <v>1979</v>
      </c>
      <c r="H30" s="80">
        <v>594</v>
      </c>
      <c r="I30" s="4">
        <f t="shared" si="5"/>
        <v>1.79</v>
      </c>
      <c r="J30" s="4">
        <f t="shared" si="0"/>
        <v>1063.26</v>
      </c>
      <c r="L30">
        <v>19</v>
      </c>
      <c r="M30">
        <f>VLOOKUP(L30,Regolamento!A:B,2,1)</f>
        <v>22</v>
      </c>
      <c r="N30" s="4">
        <f t="shared" si="1"/>
        <v>1.7</v>
      </c>
      <c r="O30" s="4">
        <f t="shared" si="2"/>
        <v>1.55</v>
      </c>
      <c r="P30" s="6">
        <f t="shared" si="3"/>
        <v>57.97</v>
      </c>
      <c r="R30" s="6">
        <f t="shared" si="4"/>
        <v>8.4857142857142858</v>
      </c>
    </row>
    <row r="31" spans="1:18" x14ac:dyDescent="0.25">
      <c r="A31" s="80" t="s">
        <v>29</v>
      </c>
      <c r="B31" s="12" t="str">
        <f>VLOOKUP(A31,concorrenti!A:B,2,0)</f>
        <v>OROBICO</v>
      </c>
      <c r="C31" s="12">
        <f>VLOOKUP(A31,concorrenti!A:E,5,1)</f>
        <v>0</v>
      </c>
      <c r="D31" t="s">
        <v>121</v>
      </c>
      <c r="E31" s="80" t="s">
        <v>585</v>
      </c>
      <c r="F31" s="80">
        <v>1967</v>
      </c>
      <c r="H31" s="80">
        <v>667</v>
      </c>
      <c r="I31" s="4">
        <f t="shared" si="5"/>
        <v>1.67</v>
      </c>
      <c r="J31" s="4">
        <f t="shared" si="0"/>
        <v>1113.8899999999999</v>
      </c>
      <c r="L31">
        <v>20</v>
      </c>
      <c r="M31">
        <f>VLOOKUP(L31,Regolamento!A:B,2,1)</f>
        <v>21</v>
      </c>
      <c r="N31" s="4">
        <f t="shared" si="1"/>
        <v>1.7</v>
      </c>
      <c r="O31" s="4">
        <f t="shared" si="2"/>
        <v>1.55</v>
      </c>
      <c r="P31" s="6">
        <f t="shared" si="3"/>
        <v>55.334999999999994</v>
      </c>
      <c r="R31" s="6">
        <f t="shared" si="4"/>
        <v>9.5285714285714285</v>
      </c>
    </row>
    <row r="32" spans="1:18" x14ac:dyDescent="0.25">
      <c r="A32" s="80" t="s">
        <v>314</v>
      </c>
      <c r="B32" s="12" t="str">
        <f>VLOOKUP(A32,concorrenti!A:B,2,0)</f>
        <v>OROBICO</v>
      </c>
      <c r="C32" s="12">
        <f>VLOOKUP(A32,concorrenti!A:E,5,1)</f>
        <v>0</v>
      </c>
      <c r="D32" t="s">
        <v>526</v>
      </c>
      <c r="E32" s="80" t="s">
        <v>276</v>
      </c>
      <c r="F32" s="105">
        <v>1992</v>
      </c>
      <c r="G32" s="8"/>
      <c r="H32" s="80">
        <v>703</v>
      </c>
      <c r="I32" s="4">
        <f t="shared" si="5"/>
        <v>1.92</v>
      </c>
      <c r="J32" s="4">
        <f t="shared" si="0"/>
        <v>1349.76</v>
      </c>
      <c r="L32">
        <v>21</v>
      </c>
      <c r="M32">
        <f>VLOOKUP(L32,Regolamento!A:B,2,1)</f>
        <v>20</v>
      </c>
      <c r="N32" s="4">
        <f t="shared" si="1"/>
        <v>1.7</v>
      </c>
      <c r="O32" s="4">
        <f t="shared" si="2"/>
        <v>1.55</v>
      </c>
      <c r="P32" s="6">
        <f t="shared" si="3"/>
        <v>52.7</v>
      </c>
      <c r="R32" s="6">
        <f t="shared" si="4"/>
        <v>10.042857142857143</v>
      </c>
    </row>
    <row r="33" spans="1:18" x14ac:dyDescent="0.25">
      <c r="A33" s="80" t="s">
        <v>74</v>
      </c>
      <c r="B33" s="12" t="str">
        <f>VLOOKUP(A33,concorrenti!A:B,2,0)</f>
        <v>CASTELLOTTI</v>
      </c>
      <c r="C33" s="12">
        <f>VLOOKUP(A33,concorrenti!A:E,5,1)</f>
        <v>0</v>
      </c>
      <c r="D33" t="s">
        <v>151</v>
      </c>
      <c r="E33" s="80" t="s">
        <v>586</v>
      </c>
      <c r="F33" s="80">
        <v>1972</v>
      </c>
      <c r="H33" s="80">
        <v>808</v>
      </c>
      <c r="I33" s="4">
        <f t="shared" si="5"/>
        <v>1.72</v>
      </c>
      <c r="J33" s="4">
        <f t="shared" si="0"/>
        <v>1389.76</v>
      </c>
      <c r="L33">
        <v>22</v>
      </c>
      <c r="M33">
        <f>VLOOKUP(L33,Regolamento!A:B,2,1)</f>
        <v>19</v>
      </c>
      <c r="N33" s="4">
        <f t="shared" si="1"/>
        <v>1.7</v>
      </c>
      <c r="O33" s="4">
        <f t="shared" si="2"/>
        <v>1.55</v>
      </c>
      <c r="P33" s="6">
        <f t="shared" si="3"/>
        <v>50.064999999999998</v>
      </c>
      <c r="R33" s="6">
        <f t="shared" si="4"/>
        <v>11.542857142857143</v>
      </c>
    </row>
    <row r="34" spans="1:18" x14ac:dyDescent="0.25">
      <c r="A34" s="80" t="s">
        <v>221</v>
      </c>
      <c r="B34" s="12" t="str">
        <f>VLOOKUP(A34,concorrenti!A:B,2,0)</f>
        <v>VAMS</v>
      </c>
      <c r="C34" s="12">
        <f>VLOOKUP(A34,concorrenti!A:E,5,1)</f>
        <v>0</v>
      </c>
      <c r="D34" t="s">
        <v>232</v>
      </c>
      <c r="E34" s="80" t="s">
        <v>286</v>
      </c>
      <c r="F34" s="105">
        <v>1981</v>
      </c>
      <c r="H34" s="80">
        <v>798</v>
      </c>
      <c r="I34" s="4">
        <f t="shared" si="5"/>
        <v>1.81</v>
      </c>
      <c r="J34" s="4">
        <f t="shared" si="0"/>
        <v>1444.38</v>
      </c>
      <c r="L34">
        <v>23</v>
      </c>
      <c r="M34">
        <f>VLOOKUP(L34,Regolamento!A:B,2,1)</f>
        <v>18</v>
      </c>
      <c r="N34" s="4">
        <f t="shared" si="1"/>
        <v>1.7</v>
      </c>
      <c r="O34" s="4">
        <f t="shared" si="2"/>
        <v>1.55</v>
      </c>
      <c r="P34" s="6">
        <f t="shared" si="3"/>
        <v>47.43</v>
      </c>
      <c r="R34" s="6">
        <f t="shared" si="4"/>
        <v>11.4</v>
      </c>
    </row>
    <row r="35" spans="1:18" x14ac:dyDescent="0.25">
      <c r="A35" s="80" t="s">
        <v>28</v>
      </c>
      <c r="B35" s="12" t="str">
        <f>VLOOKUP(A35,concorrenti!A:B,2,0)</f>
        <v>VAMS</v>
      </c>
      <c r="C35" s="12">
        <f>VLOOKUP(A35,concorrenti!A:E,5,1)</f>
        <v>0</v>
      </c>
      <c r="D35" t="s">
        <v>232</v>
      </c>
      <c r="E35" s="80" t="s">
        <v>587</v>
      </c>
      <c r="F35" s="105">
        <v>1975</v>
      </c>
      <c r="H35" s="130">
        <v>1004</v>
      </c>
      <c r="I35" s="4">
        <f t="shared" si="5"/>
        <v>1.75</v>
      </c>
      <c r="J35" s="4">
        <f t="shared" si="0"/>
        <v>1757</v>
      </c>
      <c r="L35">
        <v>24</v>
      </c>
      <c r="M35">
        <f>VLOOKUP(L35,Regolamento!A:B,2,1)</f>
        <v>17</v>
      </c>
      <c r="N35" s="4">
        <f t="shared" si="1"/>
        <v>1.7</v>
      </c>
      <c r="O35" s="4">
        <f t="shared" si="2"/>
        <v>1.55</v>
      </c>
      <c r="P35" s="6">
        <f t="shared" si="3"/>
        <v>44.795000000000002</v>
      </c>
      <c r="R35" s="6">
        <f t="shared" si="4"/>
        <v>14.342857142857143</v>
      </c>
    </row>
    <row r="36" spans="1:18" x14ac:dyDescent="0.25">
      <c r="A36" s="80" t="s">
        <v>16</v>
      </c>
      <c r="B36" s="12" t="str">
        <f>VLOOKUP(A36,concorrenti!A:B,2,0)</f>
        <v>OROBICO</v>
      </c>
      <c r="C36" s="12">
        <f>VLOOKUP(A36,concorrenti!A:E,5,1)</f>
        <v>0</v>
      </c>
      <c r="D36" t="s">
        <v>232</v>
      </c>
      <c r="E36" s="80" t="s">
        <v>322</v>
      </c>
      <c r="F36" s="80">
        <v>1971</v>
      </c>
      <c r="H36" s="130">
        <v>1226</v>
      </c>
      <c r="I36" s="4">
        <f t="shared" si="5"/>
        <v>1.71</v>
      </c>
      <c r="J36" s="4">
        <f t="shared" si="0"/>
        <v>2096.46</v>
      </c>
      <c r="L36">
        <v>25</v>
      </c>
      <c r="M36">
        <f>VLOOKUP(L36,Regolamento!A:B,2,1)</f>
        <v>16</v>
      </c>
      <c r="N36" s="4">
        <f t="shared" si="1"/>
        <v>1.7</v>
      </c>
      <c r="O36" s="4">
        <f t="shared" si="2"/>
        <v>1.55</v>
      </c>
      <c r="P36" s="6">
        <f t="shared" si="3"/>
        <v>42.16</v>
      </c>
      <c r="R36" s="6">
        <f t="shared" si="4"/>
        <v>17.514285714285716</v>
      </c>
    </row>
    <row r="37" spans="1:18" x14ac:dyDescent="0.25">
      <c r="A37" s="80" t="s">
        <v>568</v>
      </c>
      <c r="B37" s="12" t="str">
        <f>VLOOKUP(A37,concorrenti!A:B,2,0)</f>
        <v>VAMS</v>
      </c>
      <c r="C37" s="12">
        <f>VLOOKUP(A37,concorrenti!A:E,5,1)</f>
        <v>0</v>
      </c>
      <c r="D37" t="s">
        <v>235</v>
      </c>
      <c r="E37" s="80" t="s">
        <v>7</v>
      </c>
      <c r="F37" s="80">
        <v>2002</v>
      </c>
      <c r="H37" s="130">
        <v>2131</v>
      </c>
      <c r="I37" s="4">
        <f t="shared" si="5"/>
        <v>1.02</v>
      </c>
      <c r="J37" s="4">
        <f t="shared" si="0"/>
        <v>2173.62</v>
      </c>
      <c r="L37">
        <v>26</v>
      </c>
      <c r="M37">
        <f>VLOOKUP(L37,Regolamento!A:B,2,1)</f>
        <v>15</v>
      </c>
      <c r="N37" s="4">
        <f t="shared" si="1"/>
        <v>1.7</v>
      </c>
      <c r="O37" s="4">
        <f t="shared" si="2"/>
        <v>1.55</v>
      </c>
      <c r="P37" s="6">
        <f t="shared" si="3"/>
        <v>39.524999999999999</v>
      </c>
      <c r="R37" s="6">
        <f t="shared" si="4"/>
        <v>30.442857142857143</v>
      </c>
    </row>
    <row r="38" spans="1:18" x14ac:dyDescent="0.25">
      <c r="A38" s="80" t="s">
        <v>227</v>
      </c>
      <c r="B38" s="12" t="str">
        <f>VLOOKUP(A38,concorrenti!A:B,2,0)</f>
        <v>VCC COMO</v>
      </c>
      <c r="C38" s="12">
        <f>VLOOKUP(A38,concorrenti!A:E,5,1)</f>
        <v>0</v>
      </c>
      <c r="D38" t="s">
        <v>578</v>
      </c>
      <c r="E38" s="80" t="s">
        <v>362</v>
      </c>
      <c r="F38" s="105">
        <v>1997</v>
      </c>
      <c r="H38" s="130">
        <v>1144</v>
      </c>
      <c r="I38" s="4">
        <f t="shared" si="5"/>
        <v>1.97</v>
      </c>
      <c r="J38" s="4">
        <f t="shared" si="0"/>
        <v>2253.6799999999998</v>
      </c>
      <c r="L38">
        <v>27</v>
      </c>
      <c r="M38">
        <f>VLOOKUP(L38,Regolamento!A:B,2,1)</f>
        <v>14</v>
      </c>
      <c r="N38" s="4">
        <f t="shared" si="1"/>
        <v>1.7</v>
      </c>
      <c r="O38" s="4">
        <f t="shared" si="2"/>
        <v>1.55</v>
      </c>
      <c r="P38" s="6">
        <f t="shared" si="3"/>
        <v>36.89</v>
      </c>
      <c r="R38" s="6">
        <f t="shared" si="4"/>
        <v>16.342857142857142</v>
      </c>
    </row>
    <row r="39" spans="1:18" x14ac:dyDescent="0.25">
      <c r="A39" s="80" t="s">
        <v>87</v>
      </c>
      <c r="B39" s="12" t="str">
        <f>VLOOKUP(A39,concorrenti!A:B,2,0)</f>
        <v>CASTELLOTTI</v>
      </c>
      <c r="C39" s="12">
        <f>VLOOKUP(A39,concorrenti!A:E,5,1)</f>
        <v>0</v>
      </c>
      <c r="D39" t="s">
        <v>235</v>
      </c>
      <c r="E39" s="80" t="s">
        <v>291</v>
      </c>
      <c r="F39" s="80">
        <v>1965</v>
      </c>
      <c r="G39" s="9"/>
      <c r="H39" s="130">
        <v>1616</v>
      </c>
      <c r="I39" s="4">
        <f t="shared" si="5"/>
        <v>1.65</v>
      </c>
      <c r="J39" s="4">
        <f t="shared" si="0"/>
        <v>2666.3999999999996</v>
      </c>
      <c r="L39">
        <v>28</v>
      </c>
      <c r="M39">
        <f>VLOOKUP(L39,Regolamento!A:B,2,1)</f>
        <v>13</v>
      </c>
      <c r="N39" s="4">
        <f t="shared" si="1"/>
        <v>1.7</v>
      </c>
      <c r="O39" s="4">
        <f t="shared" si="2"/>
        <v>1.55</v>
      </c>
      <c r="P39" s="6">
        <f t="shared" si="3"/>
        <v>34.254999999999995</v>
      </c>
      <c r="R39" s="6">
        <f t="shared" si="4"/>
        <v>23.085714285714285</v>
      </c>
    </row>
    <row r="40" spans="1:18" x14ac:dyDescent="0.25">
      <c r="A40" s="80" t="s">
        <v>219</v>
      </c>
      <c r="B40" s="12" t="str">
        <f>VLOOKUP(A40,concorrenti!A:B,2,0)</f>
        <v>OROBICO</v>
      </c>
      <c r="C40" s="12">
        <f>VLOOKUP(A40,concorrenti!A:E,5,1)</f>
        <v>0</v>
      </c>
      <c r="D40" t="s">
        <v>230</v>
      </c>
      <c r="E40" s="80" t="s">
        <v>507</v>
      </c>
      <c r="F40" s="80">
        <v>1980</v>
      </c>
      <c r="H40" s="130">
        <v>1787</v>
      </c>
      <c r="I40" s="4">
        <f t="shared" si="5"/>
        <v>1.8</v>
      </c>
      <c r="J40" s="4">
        <f t="shared" si="0"/>
        <v>3216.6</v>
      </c>
      <c r="L40">
        <v>29</v>
      </c>
      <c r="M40">
        <f>VLOOKUP(L40,Regolamento!A:B,2,1)</f>
        <v>12</v>
      </c>
      <c r="N40" s="4">
        <f t="shared" si="1"/>
        <v>1.7</v>
      </c>
      <c r="O40" s="4">
        <f t="shared" si="2"/>
        <v>1.55</v>
      </c>
      <c r="P40" s="6">
        <f t="shared" si="3"/>
        <v>31.619999999999997</v>
      </c>
      <c r="R40" s="6">
        <f t="shared" si="4"/>
        <v>25.528571428571428</v>
      </c>
    </row>
    <row r="41" spans="1:18" x14ac:dyDescent="0.25">
      <c r="A41" s="80" t="s">
        <v>569</v>
      </c>
      <c r="B41" s="12" t="str">
        <f>VLOOKUP(A41,concorrenti!A:B,2,0)</f>
        <v>OROBICO</v>
      </c>
      <c r="C41" s="12">
        <f>VLOOKUP(A41,concorrenti!A:E,5,1)</f>
        <v>0</v>
      </c>
      <c r="D41" t="s">
        <v>577</v>
      </c>
      <c r="E41" s="80" t="s">
        <v>588</v>
      </c>
      <c r="F41" s="80">
        <v>1973</v>
      </c>
      <c r="H41" s="130">
        <v>2384</v>
      </c>
      <c r="I41" s="4">
        <f t="shared" si="5"/>
        <v>1.73</v>
      </c>
      <c r="J41" s="4">
        <f t="shared" si="0"/>
        <v>4124.32</v>
      </c>
      <c r="L41">
        <v>30</v>
      </c>
      <c r="M41">
        <f>VLOOKUP(L41,Regolamento!A:B,2,1)</f>
        <v>11</v>
      </c>
      <c r="N41" s="4">
        <f t="shared" si="1"/>
        <v>1.7</v>
      </c>
      <c r="O41" s="4">
        <f t="shared" si="2"/>
        <v>1.55</v>
      </c>
      <c r="P41" s="6">
        <f t="shared" si="3"/>
        <v>28.984999999999999</v>
      </c>
      <c r="R41" s="6">
        <f t="shared" si="4"/>
        <v>34.057142857142857</v>
      </c>
    </row>
    <row r="42" spans="1:18" x14ac:dyDescent="0.25">
      <c r="A42" s="80" t="s">
        <v>215</v>
      </c>
      <c r="B42" s="12" t="str">
        <f>VLOOKUP(A42,concorrenti!A:B,2,0)</f>
        <v>CLASSIC CLUB ITALIA</v>
      </c>
      <c r="C42" s="12">
        <f>VLOOKUP(A42,concorrenti!A:E,5,1)</f>
        <v>0</v>
      </c>
      <c r="D42" t="s">
        <v>243</v>
      </c>
      <c r="E42" s="80" t="s">
        <v>280</v>
      </c>
      <c r="F42" s="105">
        <v>1988</v>
      </c>
      <c r="H42" s="130">
        <v>2316</v>
      </c>
      <c r="I42" s="4">
        <f t="shared" si="5"/>
        <v>1.88</v>
      </c>
      <c r="J42" s="4">
        <f t="shared" si="0"/>
        <v>4354.08</v>
      </c>
      <c r="L42">
        <v>31</v>
      </c>
      <c r="M42">
        <f>VLOOKUP(L42,Regolamento!A:B,2,1)</f>
        <v>10</v>
      </c>
      <c r="N42" s="4">
        <f t="shared" si="1"/>
        <v>1.7</v>
      </c>
      <c r="O42" s="4">
        <f t="shared" si="2"/>
        <v>1.55</v>
      </c>
      <c r="P42" s="6">
        <f t="shared" si="3"/>
        <v>26.35</v>
      </c>
      <c r="R42" s="6">
        <f t="shared" si="4"/>
        <v>33.085714285714289</v>
      </c>
    </row>
    <row r="43" spans="1:18" x14ac:dyDescent="0.25">
      <c r="A43" s="80" t="s">
        <v>572</v>
      </c>
      <c r="B43" s="12" t="str">
        <f>VLOOKUP(A43,concorrenti!A:B,2,0)</f>
        <v>OROBICO</v>
      </c>
      <c r="C43" s="12">
        <f>VLOOKUP(A43,concorrenti!A:E,5,1)</f>
        <v>0</v>
      </c>
      <c r="D43" t="s">
        <v>121</v>
      </c>
      <c r="E43" s="80" t="s">
        <v>590</v>
      </c>
      <c r="F43" s="80">
        <v>1970</v>
      </c>
      <c r="H43" s="130">
        <v>2862</v>
      </c>
      <c r="I43" s="4">
        <f t="shared" si="5"/>
        <v>1.7</v>
      </c>
      <c r="J43" s="4">
        <f t="shared" si="0"/>
        <v>4865.3999999999996</v>
      </c>
      <c r="L43">
        <v>32</v>
      </c>
      <c r="M43">
        <f>VLOOKUP(L43,Regolamento!A:B,2,1)</f>
        <v>9</v>
      </c>
      <c r="N43" s="4">
        <f t="shared" si="1"/>
        <v>1.7</v>
      </c>
      <c r="O43" s="4">
        <f t="shared" si="2"/>
        <v>1.55</v>
      </c>
      <c r="P43" s="6">
        <f t="shared" si="3"/>
        <v>23.715</v>
      </c>
      <c r="R43" s="6">
        <f t="shared" si="4"/>
        <v>40.885714285714286</v>
      </c>
    </row>
    <row r="44" spans="1:18" x14ac:dyDescent="0.25">
      <c r="A44" s="80" t="s">
        <v>571</v>
      </c>
      <c r="B44" s="12" t="str">
        <f>VLOOKUP(A44,concorrenti!A:B,2,0)</f>
        <v>OROBICO</v>
      </c>
      <c r="C44" s="12">
        <f>VLOOKUP(A44,concorrenti!A:E,5,0)</f>
        <v>0</v>
      </c>
      <c r="D44" t="s">
        <v>234</v>
      </c>
      <c r="E44" s="80" t="s">
        <v>589</v>
      </c>
      <c r="F44" s="80">
        <v>1975</v>
      </c>
      <c r="H44" s="130">
        <v>2860</v>
      </c>
      <c r="I44" s="4">
        <f t="shared" si="5"/>
        <v>1.75</v>
      </c>
      <c r="J44" s="4">
        <f t="shared" si="0"/>
        <v>5005</v>
      </c>
      <c r="L44">
        <v>33</v>
      </c>
      <c r="M44">
        <f>VLOOKUP(L44,Regolamento!A:B,2,1)</f>
        <v>8</v>
      </c>
      <c r="N44" s="4">
        <f t="shared" si="1"/>
        <v>1.7</v>
      </c>
      <c r="O44" s="4">
        <f t="shared" si="2"/>
        <v>1.55</v>
      </c>
      <c r="P44" s="6">
        <f t="shared" si="3"/>
        <v>21.08</v>
      </c>
      <c r="R44" s="6">
        <f t="shared" si="4"/>
        <v>40.857142857142854</v>
      </c>
    </row>
    <row r="45" spans="1:18" x14ac:dyDescent="0.25">
      <c r="A45" s="80" t="s">
        <v>570</v>
      </c>
      <c r="B45" s="12" t="str">
        <f>VLOOKUP(A45,concorrenti!A:B,2,0)</f>
        <v>OROBICO</v>
      </c>
      <c r="C45" s="12">
        <f>VLOOKUP(A45,concorrenti!A:E,5,0)</f>
        <v>0</v>
      </c>
      <c r="D45" t="s">
        <v>234</v>
      </c>
      <c r="E45" s="80" t="s">
        <v>589</v>
      </c>
      <c r="F45" s="80">
        <v>1982</v>
      </c>
      <c r="H45" s="130">
        <v>2827</v>
      </c>
      <c r="I45" s="4">
        <f t="shared" si="5"/>
        <v>1.8199999999999998</v>
      </c>
      <c r="J45" s="4">
        <f t="shared" si="0"/>
        <v>5145.1399999999994</v>
      </c>
      <c r="L45">
        <v>34</v>
      </c>
      <c r="M45">
        <f>VLOOKUP(L45,Regolamento!A:B,2,1)</f>
        <v>7</v>
      </c>
      <c r="N45" s="4">
        <f t="shared" si="1"/>
        <v>1.7</v>
      </c>
      <c r="O45" s="4">
        <f t="shared" si="2"/>
        <v>1.55</v>
      </c>
      <c r="P45" s="6">
        <f t="shared" si="3"/>
        <v>18.445</v>
      </c>
      <c r="R45" s="6">
        <f t="shared" si="4"/>
        <v>40.385714285714286</v>
      </c>
    </row>
    <row r="46" spans="1:18" x14ac:dyDescent="0.25">
      <c r="A46" s="80" t="s">
        <v>573</v>
      </c>
      <c r="B46" s="12" t="str">
        <f>VLOOKUP(A46,concorrenti!A:B,2,0)</f>
        <v>OROBICO</v>
      </c>
      <c r="C46" s="12">
        <f>VLOOKUP(A46,concorrenti!A:E,5,0)</f>
        <v>0</v>
      </c>
      <c r="D46" t="s">
        <v>230</v>
      </c>
      <c r="E46" s="80" t="s">
        <v>229</v>
      </c>
      <c r="F46" s="80">
        <v>1960</v>
      </c>
      <c r="H46" s="130">
        <v>3369</v>
      </c>
      <c r="I46" s="4">
        <f t="shared" si="5"/>
        <v>1.6</v>
      </c>
      <c r="J46" s="4">
        <f t="shared" si="0"/>
        <v>5390.4000000000005</v>
      </c>
      <c r="L46">
        <v>35</v>
      </c>
      <c r="M46">
        <f>VLOOKUP(L46,Regolamento!A:B,2,1)</f>
        <v>6</v>
      </c>
      <c r="N46" s="4">
        <f t="shared" si="1"/>
        <v>1.7</v>
      </c>
      <c r="O46" s="4">
        <f t="shared" si="2"/>
        <v>1.55</v>
      </c>
      <c r="P46" s="6">
        <f t="shared" si="3"/>
        <v>15.809999999999999</v>
      </c>
      <c r="R46" s="6">
        <f t="shared" si="4"/>
        <v>48.128571428571426</v>
      </c>
    </row>
    <row r="47" spans="1:18" x14ac:dyDescent="0.25">
      <c r="A47" s="80" t="s">
        <v>18</v>
      </c>
      <c r="B47" s="12" t="str">
        <f>VLOOKUP(A47,concorrenti!A:B,2,0)</f>
        <v>VAMS</v>
      </c>
      <c r="C47" s="12">
        <f>VLOOKUP(A47,concorrenti!A:E,5,0)</f>
        <v>0</v>
      </c>
      <c r="D47" t="s">
        <v>232</v>
      </c>
      <c r="E47" s="80" t="s">
        <v>591</v>
      </c>
      <c r="F47" s="105">
        <v>1993</v>
      </c>
      <c r="H47" s="130">
        <v>2881</v>
      </c>
      <c r="I47" s="4">
        <f t="shared" si="5"/>
        <v>1.9300000000000002</v>
      </c>
      <c r="J47" s="4">
        <f t="shared" si="0"/>
        <v>5560.3300000000008</v>
      </c>
      <c r="L47">
        <v>36</v>
      </c>
      <c r="M47">
        <f>VLOOKUP(L47,Regolamento!A:B,2,1)</f>
        <v>5</v>
      </c>
      <c r="N47" s="4">
        <f t="shared" si="1"/>
        <v>1.7</v>
      </c>
      <c r="O47" s="4">
        <f t="shared" si="2"/>
        <v>1.55</v>
      </c>
      <c r="P47" s="6">
        <f t="shared" si="3"/>
        <v>13.175000000000001</v>
      </c>
      <c r="R47" s="6">
        <f t="shared" si="4"/>
        <v>41.157142857142858</v>
      </c>
    </row>
    <row r="48" spans="1:18" x14ac:dyDescent="0.25">
      <c r="A48" s="80" t="s">
        <v>14</v>
      </c>
      <c r="B48" s="12" t="str">
        <f>VLOOKUP(A48,concorrenti!A:B,2,0)</f>
        <v>VAMS</v>
      </c>
      <c r="C48" s="12">
        <f>VLOOKUP(A48,concorrenti!A:E,5,0)</f>
        <v>0</v>
      </c>
      <c r="D48" t="s">
        <v>230</v>
      </c>
      <c r="E48" s="80" t="s">
        <v>285</v>
      </c>
      <c r="F48" s="80">
        <v>1967</v>
      </c>
      <c r="H48" s="130">
        <v>3604</v>
      </c>
      <c r="I48" s="4">
        <f t="shared" si="5"/>
        <v>1.67</v>
      </c>
      <c r="J48" s="4">
        <f t="shared" si="0"/>
        <v>6018.6799999999994</v>
      </c>
      <c r="L48">
        <v>37</v>
      </c>
      <c r="M48">
        <f>VLOOKUP(L48,Regolamento!A:B,2,1)</f>
        <v>4</v>
      </c>
      <c r="N48" s="4">
        <f t="shared" si="1"/>
        <v>1.7</v>
      </c>
      <c r="O48" s="4">
        <f t="shared" si="2"/>
        <v>1.55</v>
      </c>
      <c r="P48" s="6">
        <f t="shared" si="3"/>
        <v>10.54</v>
      </c>
      <c r="R48" s="6">
        <f t="shared" si="4"/>
        <v>51.485714285714288</v>
      </c>
    </row>
    <row r="49" spans="1:18" x14ac:dyDescent="0.25">
      <c r="A49" s="80" t="s">
        <v>83</v>
      </c>
      <c r="B49" s="12" t="str">
        <f>VLOOKUP(A49,concorrenti!A:B,2,0)</f>
        <v>CASTELLOTTI</v>
      </c>
      <c r="C49" s="12">
        <f>VLOOKUP(A49,concorrenti!A:E,5,0)</f>
        <v>0</v>
      </c>
      <c r="D49" t="s">
        <v>239</v>
      </c>
      <c r="E49" s="80" t="s">
        <v>592</v>
      </c>
      <c r="F49" s="80">
        <v>1994</v>
      </c>
      <c r="H49" s="130">
        <v>4242</v>
      </c>
      <c r="I49" s="4">
        <f t="shared" si="5"/>
        <v>1.94</v>
      </c>
      <c r="J49" s="4">
        <f t="shared" si="0"/>
        <v>8229.48</v>
      </c>
      <c r="L49">
        <v>38</v>
      </c>
      <c r="M49">
        <f>VLOOKUP(L49,Regolamento!A:B,2,1)</f>
        <v>3</v>
      </c>
      <c r="N49" s="4">
        <f t="shared" si="1"/>
        <v>1.7</v>
      </c>
      <c r="O49" s="4">
        <f t="shared" si="2"/>
        <v>1.55</v>
      </c>
      <c r="P49" s="6">
        <f t="shared" si="3"/>
        <v>7.9049999999999994</v>
      </c>
      <c r="R49" s="6">
        <f t="shared" si="4"/>
        <v>60.6</v>
      </c>
    </row>
    <row r="50" spans="1:18" x14ac:dyDescent="0.25">
      <c r="A50" s="80" t="s">
        <v>574</v>
      </c>
      <c r="B50" s="12" t="str">
        <f>VLOOKUP(A50,concorrenti!A:B,2,0)</f>
        <v>OMCB</v>
      </c>
      <c r="C50" s="12">
        <f>VLOOKUP(A50,concorrenti!A:E,5,0)</f>
        <v>0</v>
      </c>
      <c r="D50" t="s">
        <v>232</v>
      </c>
      <c r="E50" s="80" t="s">
        <v>591</v>
      </c>
      <c r="F50" s="80">
        <v>1974</v>
      </c>
      <c r="H50" s="130">
        <v>5224</v>
      </c>
      <c r="I50" s="4">
        <f t="shared" si="5"/>
        <v>1.74</v>
      </c>
      <c r="J50" s="4">
        <f t="shared" si="0"/>
        <v>9089.76</v>
      </c>
      <c r="L50">
        <v>39</v>
      </c>
      <c r="M50">
        <f>VLOOKUP(L50,Regolamento!A:B,2,1)</f>
        <v>2</v>
      </c>
      <c r="N50" s="4">
        <f t="shared" si="1"/>
        <v>1.7</v>
      </c>
      <c r="O50" s="4">
        <f t="shared" si="2"/>
        <v>1.55</v>
      </c>
      <c r="P50" s="6">
        <f t="shared" si="3"/>
        <v>5.27</v>
      </c>
      <c r="R50" s="6">
        <f t="shared" si="4"/>
        <v>74.628571428571433</v>
      </c>
    </row>
    <row r="51" spans="1:18" x14ac:dyDescent="0.25">
      <c r="A51" s="80" t="s">
        <v>575</v>
      </c>
      <c r="B51" s="12" t="str">
        <f>VLOOKUP(A51,concorrenti!A:B,2,0)</f>
        <v>OROBICO</v>
      </c>
      <c r="C51" s="12">
        <f>VLOOKUP(A51,concorrenti!A:E,5,0)</f>
        <v>0</v>
      </c>
      <c r="D51" t="s">
        <v>230</v>
      </c>
      <c r="E51" s="80" t="s">
        <v>593</v>
      </c>
      <c r="F51" s="80">
        <v>1972</v>
      </c>
      <c r="H51" s="130">
        <v>6040</v>
      </c>
      <c r="I51" s="4">
        <f t="shared" si="5"/>
        <v>1.72</v>
      </c>
      <c r="J51" s="4">
        <f t="shared" si="0"/>
        <v>10388.799999999999</v>
      </c>
      <c r="L51">
        <v>40</v>
      </c>
      <c r="M51">
        <f>VLOOKUP(L51,Regolamento!A:B,2,1)</f>
        <v>1</v>
      </c>
      <c r="N51" s="4">
        <f t="shared" si="1"/>
        <v>1.7</v>
      </c>
      <c r="O51" s="4">
        <f t="shared" si="2"/>
        <v>1.55</v>
      </c>
      <c r="P51" s="6">
        <f t="shared" si="3"/>
        <v>2.6349999999999998</v>
      </c>
      <c r="R51" s="6">
        <f t="shared" si="4"/>
        <v>86.285714285714292</v>
      </c>
    </row>
    <row r="52" spans="1:18" x14ac:dyDescent="0.25">
      <c r="A52" s="80" t="s">
        <v>576</v>
      </c>
      <c r="B52" s="12" t="str">
        <f>VLOOKUP(A52,concorrenti!A:B,2,0)</f>
        <v>OROBICO</v>
      </c>
      <c r="C52" s="12">
        <f>VLOOKUP(A52,concorrenti!A:E,5,0)</f>
        <v>0</v>
      </c>
      <c r="D52" t="s">
        <v>232</v>
      </c>
      <c r="E52" s="80" t="s">
        <v>270</v>
      </c>
      <c r="F52" s="80">
        <v>1992</v>
      </c>
      <c r="G52" s="8"/>
      <c r="H52" s="130">
        <v>7703</v>
      </c>
      <c r="I52" s="4">
        <f t="shared" si="5"/>
        <v>1.92</v>
      </c>
      <c r="J52" s="4">
        <f t="shared" si="0"/>
        <v>14789.76</v>
      </c>
      <c r="L52">
        <v>41</v>
      </c>
      <c r="M52">
        <f>VLOOKUP(L52,Regolamento!A:B,2,1)</f>
        <v>0.5</v>
      </c>
      <c r="N52" s="4">
        <f t="shared" si="1"/>
        <v>1.7</v>
      </c>
      <c r="O52" s="4">
        <f t="shared" si="2"/>
        <v>1.55</v>
      </c>
      <c r="P52" s="6">
        <f t="shared" si="3"/>
        <v>1.3174999999999999</v>
      </c>
      <c r="R52" s="6">
        <f t="shared" si="4"/>
        <v>110.04285714285714</v>
      </c>
    </row>
    <row r="54" spans="1:18" x14ac:dyDescent="0.25">
      <c r="P54" s="10">
        <f>SUM(P12:P53)</f>
        <v>2214.7175000000011</v>
      </c>
    </row>
    <row r="55" spans="1:18" x14ac:dyDescent="0.25">
      <c r="P55" s="10">
        <f>+P54-Generale!O3</f>
        <v>0</v>
      </c>
    </row>
    <row r="56" spans="1:18" x14ac:dyDescent="0.25">
      <c r="I56"/>
      <c r="J56"/>
    </row>
  </sheetData>
  <sheetProtection algorithmName="SHA-512" hashValue="AxYpa3eEBEDK0cluzAHl8bndO7/pcRJKJn6F0O7ZyR9gCDUXVQMSGKYJfMHDnmCOgq3hdzreDXIqnWBzuDg7Kg==" saltValue="vqDK3KRptlhgXLZ5Tah+Uw==" spinCount="100000" sheet="1" objects="1" scenarios="1"/>
  <sortState xmlns:xlrd2="http://schemas.microsoft.com/office/spreadsheetml/2017/richdata2" ref="A12:J52">
    <sortCondition ref="J12:J52"/>
  </sortState>
  <mergeCells count="3">
    <mergeCell ref="H1:P1"/>
    <mergeCell ref="H8:J8"/>
    <mergeCell ref="N8:O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91"/>
  <sheetViews>
    <sheetView topLeftCell="A142" workbookViewId="0">
      <selection activeCell="A165" sqref="A165:XFD165"/>
    </sheetView>
  </sheetViews>
  <sheetFormatPr defaultRowHeight="15" x14ac:dyDescent="0.25"/>
  <cols>
    <col min="1" max="1" width="31.42578125" style="8" bestFit="1" customWidth="1"/>
    <col min="2" max="2" width="17.85546875" style="8" bestFit="1" customWidth="1"/>
    <col min="3" max="3" width="4.28515625" style="62" bestFit="1" customWidth="1"/>
    <col min="4" max="4" width="9.28515625" style="62" bestFit="1" customWidth="1"/>
    <col min="5" max="5" width="9.42578125" style="62" customWidth="1"/>
    <col min="6" max="6" width="3.5703125" style="8" customWidth="1"/>
    <col min="7" max="7" width="15" style="62" bestFit="1" customWidth="1"/>
    <col min="8" max="8" width="16.85546875" style="8" customWidth="1"/>
    <col min="9" max="9" width="13.28515625" style="79" bestFit="1" customWidth="1"/>
    <col min="10" max="10" width="12.28515625" style="4" bestFit="1" customWidth="1"/>
    <col min="11" max="11" width="14.5703125" bestFit="1" customWidth="1"/>
    <col min="12" max="12" width="12.42578125" bestFit="1" customWidth="1"/>
    <col min="13" max="13" width="14.140625" bestFit="1" customWidth="1"/>
    <col min="14" max="14" width="11.7109375" bestFit="1" customWidth="1"/>
  </cols>
  <sheetData>
    <row r="1" spans="1:14" s="2" customFormat="1" x14ac:dyDescent="0.25">
      <c r="A1" s="67" t="s">
        <v>44</v>
      </c>
      <c r="B1" s="68" t="s">
        <v>96</v>
      </c>
      <c r="C1" s="68" t="s">
        <v>45</v>
      </c>
      <c r="D1" s="68" t="s">
        <v>63</v>
      </c>
      <c r="E1" s="68" t="s">
        <v>46</v>
      </c>
      <c r="F1" s="68"/>
      <c r="G1" s="68" t="s">
        <v>95</v>
      </c>
      <c r="H1" s="67"/>
      <c r="I1" s="78" t="s">
        <v>342</v>
      </c>
      <c r="J1" s="6" t="s">
        <v>343</v>
      </c>
      <c r="K1" s="2" t="s">
        <v>344</v>
      </c>
      <c r="L1" s="2" t="s">
        <v>540</v>
      </c>
      <c r="M1" s="2" t="s">
        <v>541</v>
      </c>
      <c r="N1" s="2" t="s">
        <v>542</v>
      </c>
    </row>
    <row r="2" spans="1:14" x14ac:dyDescent="0.25">
      <c r="A2" s="8" t="s">
        <v>41</v>
      </c>
      <c r="B2" s="8" t="s">
        <v>100</v>
      </c>
      <c r="C2" s="62" t="s">
        <v>119</v>
      </c>
      <c r="I2" s="79">
        <f>IFERROR(VLOOKUP(A2,'Nora Sciplino'!A$12:R$58,18,0),0)</f>
        <v>48.215384615384615</v>
      </c>
      <c r="J2" s="4">
        <f>IFERROR(VLOOKUP(A2,Castellotti!A:R,18,0),0)</f>
        <v>0</v>
      </c>
      <c r="K2" s="4">
        <f>IFERROR(VLOOKUP(A2,Solidarietà!A:R,18,0),0)</f>
        <v>0</v>
      </c>
      <c r="L2" s="4">
        <f>IFERROR(VLOOKUP(A2,'Giro del Lario'!A:R,18,0),0)</f>
        <v>0</v>
      </c>
      <c r="M2" s="4">
        <f>IFERROR(VLOOKUP(A2,'Campo dei Fiori'!A:R,18,0),0)</f>
        <v>0</v>
      </c>
      <c r="N2" s="4">
        <f>IFERROR(VLOOKUP(A2,'Erba Ghisallo'!A:R,18,0),0)</f>
        <v>0</v>
      </c>
    </row>
    <row r="3" spans="1:14" x14ac:dyDescent="0.25">
      <c r="A3" s="8" t="s">
        <v>377</v>
      </c>
      <c r="B3" s="8" t="s">
        <v>376</v>
      </c>
      <c r="C3" s="62" t="s">
        <v>119</v>
      </c>
      <c r="D3" s="62" t="s">
        <v>71</v>
      </c>
      <c r="G3" s="62" t="s">
        <v>97</v>
      </c>
      <c r="I3" s="79">
        <f>IFERROR(VLOOKUP(A3,'Nora Sciplino'!A$12:R$58,18,0),0)</f>
        <v>0</v>
      </c>
      <c r="J3" s="4">
        <f>IFERROR(VLOOKUP(A3,Castellotti!A:R,18,0),0)</f>
        <v>0</v>
      </c>
      <c r="K3" s="4">
        <f>IFERROR(VLOOKUP(A3,Solidarietà!A:R,18,0),0)</f>
        <v>0</v>
      </c>
      <c r="L3" s="4">
        <f>IFERROR(VLOOKUP(A3,'Giro del Lario'!A:R,18,0),0)</f>
        <v>0</v>
      </c>
      <c r="M3" s="4">
        <f>IFERROR(VLOOKUP(A3,'Campo dei Fiori'!A:R,18,0),0)</f>
        <v>0</v>
      </c>
      <c r="N3" s="4">
        <f>IFERROR(VLOOKUP(A3,'Erba Ghisallo'!A:R,18,0),0)</f>
        <v>0</v>
      </c>
    </row>
    <row r="4" spans="1:14" x14ac:dyDescent="0.25">
      <c r="A4" s="8" t="s">
        <v>378</v>
      </c>
      <c r="B4" s="8" t="s">
        <v>376</v>
      </c>
      <c r="C4" s="62" t="s">
        <v>119</v>
      </c>
      <c r="D4" s="62" t="s">
        <v>71</v>
      </c>
      <c r="I4" s="79">
        <f>IFERROR(VLOOKUP(A4,'Nora Sciplino'!A$12:R$58,18,0),0)</f>
        <v>0</v>
      </c>
      <c r="J4" s="4">
        <f>IFERROR(VLOOKUP(A4,Castellotti!A:R,18,0),0)</f>
        <v>0</v>
      </c>
      <c r="K4" s="4">
        <f>IFERROR(VLOOKUP(A4,Solidarietà!A:R,18,0),0)</f>
        <v>0</v>
      </c>
      <c r="L4" s="4">
        <f>IFERROR(VLOOKUP(A4,'Giro del Lario'!A:R,18,0),0)</f>
        <v>0</v>
      </c>
      <c r="M4" s="4">
        <f>IFERROR(VLOOKUP(A4,'Campo dei Fiori'!A:R,18,0),0)</f>
        <v>0</v>
      </c>
      <c r="N4" s="4">
        <f>IFERROR(VLOOKUP(A4,'Erba Ghisallo'!A:R,18,0),0)</f>
        <v>0</v>
      </c>
    </row>
    <row r="5" spans="1:14" x14ac:dyDescent="0.25">
      <c r="A5" s="8" t="s">
        <v>353</v>
      </c>
      <c r="B5" s="105" t="s">
        <v>175</v>
      </c>
      <c r="C5" s="62" t="s">
        <v>119</v>
      </c>
      <c r="I5" s="79">
        <f>IFERROR(VLOOKUP(A5,'Nora Sciplino'!A$12:R$58,18,0),0)</f>
        <v>0</v>
      </c>
      <c r="J5" s="4">
        <f>IFERROR(VLOOKUP(A5,Castellotti!A:R,18,0),0)</f>
        <v>0</v>
      </c>
      <c r="K5" s="4">
        <f>IFERROR(VLOOKUP(A5,Solidarietà!A:R,18,0),0)</f>
        <v>0</v>
      </c>
      <c r="L5" s="4">
        <f>IFERROR(VLOOKUP(A5,'Giro del Lario'!A:R,18,0),0)</f>
        <v>20.226666666666667</v>
      </c>
      <c r="M5" s="4">
        <f>IFERROR(VLOOKUP(A5,'Campo dei Fiori'!A:R,18,0),0)</f>
        <v>0</v>
      </c>
      <c r="N5" s="4">
        <f>IFERROR(VLOOKUP(A5,'Erba Ghisallo'!A:R,18,0),0)</f>
        <v>14.106382978723405</v>
      </c>
    </row>
    <row r="6" spans="1:14" x14ac:dyDescent="0.25">
      <c r="A6" s="8" t="s">
        <v>553</v>
      </c>
      <c r="B6" s="105" t="s">
        <v>376</v>
      </c>
      <c r="C6" s="62" t="s">
        <v>119</v>
      </c>
      <c r="I6" s="79">
        <f>IFERROR(VLOOKUP(A6,'Nora Sciplino'!A$12:R$58,18,0),0)</f>
        <v>22.76923076923077</v>
      </c>
      <c r="K6" s="4"/>
      <c r="L6" s="4"/>
      <c r="M6" s="4"/>
      <c r="N6" s="4"/>
    </row>
    <row r="7" spans="1:14" x14ac:dyDescent="0.25">
      <c r="A7" s="8" t="s">
        <v>198</v>
      </c>
      <c r="B7" s="8" t="s">
        <v>99</v>
      </c>
      <c r="C7" s="62" t="s">
        <v>119</v>
      </c>
      <c r="I7" s="79">
        <f>IFERROR(VLOOKUP(A7,'Nora Sciplino'!A$12:R$58,18,0),0)</f>
        <v>0</v>
      </c>
      <c r="J7" s="4">
        <f>IFERROR(VLOOKUP(A7,Castellotti!A:R,18,0),0)</f>
        <v>24.384615384615383</v>
      </c>
      <c r="K7" s="4">
        <f>IFERROR(VLOOKUP(A7,Solidarietà!A:R,18,0),0)</f>
        <v>0</v>
      </c>
      <c r="L7" s="4">
        <f>IFERROR(VLOOKUP(A7,'Giro del Lario'!A:R,18,0),0)</f>
        <v>0</v>
      </c>
      <c r="M7" s="4">
        <f>IFERROR(VLOOKUP(A7,'Campo dei Fiori'!A:R,18,0),0)</f>
        <v>0</v>
      </c>
      <c r="N7" s="4">
        <f>IFERROR(VLOOKUP(A7,'Erba Ghisallo'!A:R,18,0),0)</f>
        <v>0</v>
      </c>
    </row>
    <row r="8" spans="1:14" s="16" customFormat="1" x14ac:dyDescent="0.25">
      <c r="A8" s="8" t="s">
        <v>379</v>
      </c>
      <c r="B8" s="8" t="s">
        <v>376</v>
      </c>
      <c r="C8" s="62" t="s">
        <v>119</v>
      </c>
      <c r="D8" s="62"/>
      <c r="E8" s="62"/>
      <c r="F8" s="8"/>
      <c r="G8" s="62"/>
      <c r="H8" s="8"/>
      <c r="I8" s="79">
        <f>IFERROR(VLOOKUP(A8,'Nora Sciplino'!A$12:R$58,18,0),0)</f>
        <v>0</v>
      </c>
      <c r="J8" s="4">
        <f>IFERROR(VLOOKUP(A8,Castellotti!A:R,18,0),0)</f>
        <v>0</v>
      </c>
      <c r="K8" s="4">
        <f>IFERROR(VLOOKUP(A8,Solidarietà!A:R,18,0),0)</f>
        <v>0</v>
      </c>
      <c r="L8" s="4">
        <f>IFERROR(VLOOKUP(A8,'Giro del Lario'!A:R,18,0),0)</f>
        <v>0</v>
      </c>
      <c r="M8" s="4">
        <f>IFERROR(VLOOKUP(A8,'Campo dei Fiori'!A:R,18,0),0)</f>
        <v>0</v>
      </c>
      <c r="N8" s="4">
        <f>IFERROR(VLOOKUP(A8,'Erba Ghisallo'!A:R,18,0),0)</f>
        <v>0</v>
      </c>
    </row>
    <row r="9" spans="1:14" x14ac:dyDescent="0.25">
      <c r="A9" s="8" t="s">
        <v>302</v>
      </c>
      <c r="B9" s="8" t="s">
        <v>98</v>
      </c>
      <c r="C9" s="62" t="s">
        <v>33</v>
      </c>
      <c r="I9" s="79">
        <f>IFERROR(VLOOKUP(A9,'Nora Sciplino'!A$12:R$58,18,0),0)</f>
        <v>0</v>
      </c>
      <c r="J9" s="4">
        <f>IFERROR(VLOOKUP(A9,Castellotti!A:R,18,0),0)</f>
        <v>0</v>
      </c>
      <c r="K9" s="4">
        <f>IFERROR(VLOOKUP(A9,Solidarietà!A:R,18,0),0)</f>
        <v>3.9571428571428573</v>
      </c>
      <c r="L9" s="4">
        <f>IFERROR(VLOOKUP(A9,'Giro del Lario'!A:R,18,0),0)</f>
        <v>0</v>
      </c>
      <c r="M9" s="4">
        <f>IFERROR(VLOOKUP(A9,'Campo dei Fiori'!A:R,18,0),0)</f>
        <v>0</v>
      </c>
      <c r="N9" s="4">
        <f>IFERROR(VLOOKUP(A9,'Erba Ghisallo'!A:R,18,0),0)</f>
        <v>0</v>
      </c>
    </row>
    <row r="10" spans="1:14" x14ac:dyDescent="0.25">
      <c r="A10" s="8" t="s">
        <v>200</v>
      </c>
      <c r="B10" s="8" t="s">
        <v>99</v>
      </c>
      <c r="C10" s="62" t="s">
        <v>119</v>
      </c>
      <c r="E10" s="62" t="s">
        <v>71</v>
      </c>
      <c r="I10" s="79">
        <f>IFERROR(VLOOKUP(A10,'Nora Sciplino'!A$12:R$58,18,0),0)</f>
        <v>0</v>
      </c>
      <c r="J10" s="4">
        <f>IFERROR(VLOOKUP(A10,Castellotti!A:R,18,0),0)</f>
        <v>91.753846153846155</v>
      </c>
      <c r="K10" s="4">
        <f>IFERROR(VLOOKUP(A10,Solidarietà!A:R,18,0),0)</f>
        <v>0</v>
      </c>
      <c r="L10" s="4">
        <f>IFERROR(VLOOKUP(A10,'Giro del Lario'!A:R,18,0),0)</f>
        <v>0</v>
      </c>
      <c r="M10" s="4">
        <f>IFERROR(VLOOKUP(A10,'Campo dei Fiori'!A:R,18,0),0)</f>
        <v>0</v>
      </c>
      <c r="N10" s="4">
        <f>IFERROR(VLOOKUP(A10,'Erba Ghisallo'!A:R,18,0),0)</f>
        <v>0</v>
      </c>
    </row>
    <row r="11" spans="1:14" x14ac:dyDescent="0.25">
      <c r="A11" s="8" t="s">
        <v>224</v>
      </c>
      <c r="B11" s="8" t="s">
        <v>175</v>
      </c>
      <c r="C11" s="62" t="s">
        <v>33</v>
      </c>
      <c r="I11" s="79">
        <f>IFERROR(VLOOKUP(A11,'Nora Sciplino'!A$12:R$58,18,0),0)</f>
        <v>0</v>
      </c>
      <c r="J11" s="4">
        <f>IFERROR(VLOOKUP(A11,Castellotti!A:R,18,0),0)</f>
        <v>6.0615384615384613</v>
      </c>
      <c r="K11" s="4">
        <f>IFERROR(VLOOKUP(A11,Solidarietà!A:R,18,0),0)</f>
        <v>0</v>
      </c>
      <c r="L11" s="4">
        <f>IFERROR(VLOOKUP(A11,'Giro del Lario'!A:R,18,0),0)</f>
        <v>7.1733333333333347</v>
      </c>
      <c r="M11" s="4">
        <f>IFERROR(VLOOKUP(A11,'Campo dei Fiori'!A:R,18,0),0)</f>
        <v>0</v>
      </c>
      <c r="N11" s="4">
        <f>IFERROR(VLOOKUP(A11,'Erba Ghisallo'!A:R,18,0),0)</f>
        <v>5.4680851063829801</v>
      </c>
    </row>
    <row r="12" spans="1:14" x14ac:dyDescent="0.25">
      <c r="A12" s="8" t="s">
        <v>215</v>
      </c>
      <c r="B12" s="8" t="s">
        <v>171</v>
      </c>
      <c r="C12" s="62" t="s">
        <v>119</v>
      </c>
      <c r="I12" s="79">
        <f>IFERROR(VLOOKUP(A12,'Nora Sciplino'!A$12:R$58,18,0),0)</f>
        <v>0</v>
      </c>
      <c r="J12" s="4">
        <f>IFERROR(VLOOKUP(A12,Castellotti!A:R,18,0),0)</f>
        <v>54.753846153846155</v>
      </c>
      <c r="K12" s="4">
        <f>IFERROR(VLOOKUP(A12,Solidarietà!A:R,18,0),0)</f>
        <v>36.471428571428568</v>
      </c>
      <c r="L12" s="4">
        <f>IFERROR(VLOOKUP(A12,'Giro del Lario'!A:R,18,0),0)</f>
        <v>0</v>
      </c>
      <c r="M12" s="4">
        <f>IFERROR(VLOOKUP(A12,'Campo dei Fiori'!A:R,18,0),0)</f>
        <v>0</v>
      </c>
      <c r="N12" s="4">
        <f>IFERROR(VLOOKUP(A12,'Erba Ghisallo'!A:R,18,0),0)</f>
        <v>57.765957446808514</v>
      </c>
    </row>
    <row r="13" spans="1:14" x14ac:dyDescent="0.25">
      <c r="A13" s="8" t="s">
        <v>13</v>
      </c>
      <c r="B13" s="8" t="s">
        <v>66</v>
      </c>
      <c r="C13" s="62" t="s">
        <v>33</v>
      </c>
      <c r="G13" s="62" t="s">
        <v>97</v>
      </c>
      <c r="I13" s="79">
        <f>IFERROR(VLOOKUP(A13,'Nora Sciplino'!A$12:R$58,18,0),0)</f>
        <v>13.061538461538461</v>
      </c>
      <c r="J13" s="4">
        <f>IFERROR(VLOOKUP(A13,Castellotti!A:R,18,0),0)</f>
        <v>0</v>
      </c>
      <c r="K13" s="4">
        <f>IFERROR(VLOOKUP(A13,Solidarietà!A:R,18,0),0)</f>
        <v>0</v>
      </c>
      <c r="L13" s="4">
        <f>IFERROR(VLOOKUP(A13,'Giro del Lario'!A:R,18,0),0)</f>
        <v>0</v>
      </c>
      <c r="M13" s="4">
        <f>IFERROR(VLOOKUP(A13,'Campo dei Fiori'!A:R,18,0),0)</f>
        <v>16.666666666666668</v>
      </c>
      <c r="N13" s="4">
        <f>IFERROR(VLOOKUP(A13,'Erba Ghisallo'!A:R,18,0),0)</f>
        <v>7.2765957446808507</v>
      </c>
    </row>
    <row r="14" spans="1:14" x14ac:dyDescent="0.25">
      <c r="A14" s="8" t="s">
        <v>199</v>
      </c>
      <c r="B14" s="8" t="s">
        <v>99</v>
      </c>
      <c r="C14" s="62" t="s">
        <v>119</v>
      </c>
      <c r="I14" s="79">
        <f>IFERROR(VLOOKUP(A14,'Nora Sciplino'!A$12:R$58,18,0),0)</f>
        <v>0</v>
      </c>
      <c r="J14" s="4">
        <f>IFERROR(VLOOKUP(A14,Castellotti!A:R,18,0),0)</f>
        <v>106.27692307692308</v>
      </c>
      <c r="K14" s="4">
        <f>IFERROR(VLOOKUP(A14,Solidarietà!A:R,18,0),0)</f>
        <v>0</v>
      </c>
      <c r="L14" s="4">
        <f>IFERROR(VLOOKUP(A14,'Giro del Lario'!A:R,18,0),0)</f>
        <v>0</v>
      </c>
      <c r="M14" s="4">
        <f>IFERROR(VLOOKUP(A14,'Campo dei Fiori'!A:R,18,0),0)</f>
        <v>0</v>
      </c>
      <c r="N14" s="4">
        <f>IFERROR(VLOOKUP(A14,'Erba Ghisallo'!A:R,18,0),0)</f>
        <v>0</v>
      </c>
    </row>
    <row r="15" spans="1:14" x14ac:dyDescent="0.25">
      <c r="A15" s="8" t="s">
        <v>303</v>
      </c>
      <c r="B15" s="8" t="s">
        <v>98</v>
      </c>
      <c r="C15" s="62" t="s">
        <v>33</v>
      </c>
      <c r="I15" s="79">
        <f>IFERROR(VLOOKUP(A15,'Nora Sciplino'!A$12:R$58,18,0),0)</f>
        <v>0</v>
      </c>
      <c r="J15" s="4">
        <f>IFERROR(VLOOKUP(A15,Castellotti!A:R,18,0),0)</f>
        <v>0</v>
      </c>
      <c r="K15" s="4">
        <f>IFERROR(VLOOKUP(A15,Solidarietà!A:R,18,0),0)</f>
        <v>6.5285714285714285</v>
      </c>
      <c r="L15" s="4">
        <f>IFERROR(VLOOKUP(A15,'Giro del Lario'!A:R,18,0),0)</f>
        <v>0</v>
      </c>
      <c r="M15" s="4">
        <f>IFERROR(VLOOKUP(A15,'Campo dei Fiori'!A:R,18,0),0)</f>
        <v>0</v>
      </c>
      <c r="N15" s="4">
        <f>IFERROR(VLOOKUP(A15,'Erba Ghisallo'!A:R,18,0),0)</f>
        <v>8.212765957446809</v>
      </c>
    </row>
    <row r="16" spans="1:14" x14ac:dyDescent="0.25">
      <c r="A16" s="8" t="s">
        <v>207</v>
      </c>
      <c r="B16" s="8" t="s">
        <v>99</v>
      </c>
      <c r="C16" s="62" t="s">
        <v>119</v>
      </c>
      <c r="I16" s="79">
        <f>IFERROR(VLOOKUP(A16,'Nora Sciplino'!A$12:R$58,18,0),0)</f>
        <v>0</v>
      </c>
      <c r="J16" s="4">
        <f>IFERROR(VLOOKUP(A16,Castellotti!A:R,18,0),0)</f>
        <v>29.276923076923076</v>
      </c>
      <c r="K16" s="4">
        <f>IFERROR(VLOOKUP(A16,Solidarietà!A:R,18,0),0)</f>
        <v>0</v>
      </c>
      <c r="L16" s="4">
        <f>IFERROR(VLOOKUP(A16,'Giro del Lario'!A:R,18,0),0)</f>
        <v>0</v>
      </c>
      <c r="M16" s="4">
        <f>IFERROR(VLOOKUP(A16,'Campo dei Fiori'!A:R,18,0),0)</f>
        <v>0</v>
      </c>
      <c r="N16" s="4">
        <f>IFERROR(VLOOKUP(A16,'Erba Ghisallo'!A:R,18,0),0)</f>
        <v>0</v>
      </c>
    </row>
    <row r="17" spans="1:14" x14ac:dyDescent="0.25">
      <c r="A17" s="8" t="s">
        <v>380</v>
      </c>
      <c r="B17" s="105" t="s">
        <v>376</v>
      </c>
      <c r="C17" s="62" t="s">
        <v>119</v>
      </c>
      <c r="G17" s="62" t="s">
        <v>97</v>
      </c>
      <c r="I17" s="79">
        <f>IFERROR(VLOOKUP(A17,'Nora Sciplino'!A$12:R$58,18,0),0)</f>
        <v>44.630769230769232</v>
      </c>
      <c r="K17" s="4"/>
      <c r="L17" s="4"/>
      <c r="M17" s="4"/>
      <c r="N17" s="4"/>
    </row>
    <row r="18" spans="1:14" x14ac:dyDescent="0.25">
      <c r="A18" s="8" t="s">
        <v>304</v>
      </c>
      <c r="B18" s="8" t="s">
        <v>98</v>
      </c>
      <c r="C18" s="62" t="s">
        <v>119</v>
      </c>
      <c r="I18" s="79">
        <f>IFERROR(VLOOKUP(A18,'Nora Sciplino'!A$12:R$58,18,0),0)</f>
        <v>0</v>
      </c>
      <c r="J18" s="4">
        <f>IFERROR(VLOOKUP(A18,Castellotti!A:R,18,0),0)</f>
        <v>0</v>
      </c>
      <c r="K18" s="4">
        <f>IFERROR(VLOOKUP(A18,Solidarietà!A:R,18,0),0)</f>
        <v>16.814285714285713</v>
      </c>
      <c r="L18" s="4">
        <f>IFERROR(VLOOKUP(A18,'Giro del Lario'!A:R,18,0),0)</f>
        <v>0</v>
      </c>
      <c r="M18" s="4">
        <f>IFERROR(VLOOKUP(A18,'Campo dei Fiori'!A:R,18,0),0)</f>
        <v>0</v>
      </c>
      <c r="N18" s="4">
        <f>IFERROR(VLOOKUP(A18,'Erba Ghisallo'!A:R,18,0),0)</f>
        <v>0</v>
      </c>
    </row>
    <row r="19" spans="1:14" x14ac:dyDescent="0.25">
      <c r="A19" s="8" t="s">
        <v>485</v>
      </c>
      <c r="B19" s="8" t="s">
        <v>98</v>
      </c>
      <c r="C19" s="62" t="s">
        <v>119</v>
      </c>
      <c r="I19" s="79">
        <f>IFERROR(VLOOKUP(A19,'Nora Sciplino'!A$12:R$58,18,0),0)</f>
        <v>0</v>
      </c>
      <c r="J19" s="4">
        <f>IFERROR(VLOOKUP(A19,Castellotti!A:R,18,0),0)</f>
        <v>0</v>
      </c>
      <c r="K19" s="4">
        <f>IFERROR(VLOOKUP(A19,Solidarietà!A:R,18,0),0)</f>
        <v>0</v>
      </c>
      <c r="L19" s="4">
        <f>IFERROR(VLOOKUP(A19,'Giro del Lario'!A:R,18,0),0)</f>
        <v>0</v>
      </c>
      <c r="M19" s="4">
        <f>IFERROR(VLOOKUP(A19,'Campo dei Fiori'!A:R,18,0),0)</f>
        <v>0</v>
      </c>
      <c r="N19" s="4">
        <f>IFERROR(VLOOKUP(A19,'Erba Ghisallo'!A:R,18,0),0)</f>
        <v>21</v>
      </c>
    </row>
    <row r="20" spans="1:14" x14ac:dyDescent="0.25">
      <c r="A20" s="8" t="s">
        <v>305</v>
      </c>
      <c r="B20" s="8" t="s">
        <v>98</v>
      </c>
      <c r="C20" s="62" t="s">
        <v>34</v>
      </c>
      <c r="I20" s="79">
        <f>IFERROR(VLOOKUP(A20,'Nora Sciplino'!A$12:R$58,18,0),0)</f>
        <v>0</v>
      </c>
      <c r="J20" s="4">
        <f>IFERROR(VLOOKUP(A20,Castellotti!A:R,18,0),0)</f>
        <v>0</v>
      </c>
      <c r="K20" s="4">
        <f>IFERROR(VLOOKUP(A20,Solidarietà!A:R,18,0),0)</f>
        <v>8.9285714285714288</v>
      </c>
      <c r="L20" s="4">
        <f>IFERROR(VLOOKUP(A20,'Giro del Lario'!A:R,18,0),0)</f>
        <v>0</v>
      </c>
      <c r="M20" s="4">
        <f>IFERROR(VLOOKUP(A20,'Campo dei Fiori'!A:R,18,0),0)</f>
        <v>0</v>
      </c>
      <c r="N20" s="4">
        <f>IFERROR(VLOOKUP(A20,'Erba Ghisallo'!A:R,18,0),0)</f>
        <v>0</v>
      </c>
    </row>
    <row r="21" spans="1:14" x14ac:dyDescent="0.25">
      <c r="A21" s="8" t="s">
        <v>451</v>
      </c>
      <c r="B21" s="8" t="s">
        <v>66</v>
      </c>
      <c r="C21" s="62" t="s">
        <v>119</v>
      </c>
      <c r="I21" s="79">
        <f>IFERROR(VLOOKUP(A21,'Nora Sciplino'!A$12:R$58,18,0),0)</f>
        <v>0</v>
      </c>
      <c r="J21" s="4">
        <f>IFERROR(VLOOKUP(A21,Castellotti!A:R,18,0),0)</f>
        <v>0</v>
      </c>
      <c r="K21" s="4">
        <f>IFERROR(VLOOKUP(A21,Solidarietà!A:R,18,0),0)</f>
        <v>0</v>
      </c>
      <c r="L21" s="4">
        <f>IFERROR(VLOOKUP(A21,'Giro del Lario'!A:R,18,0),0)</f>
        <v>0</v>
      </c>
      <c r="M21" s="4">
        <f>IFERROR(VLOOKUP(A21,'Campo dei Fiori'!A:R,18,0),0)</f>
        <v>31.571428571428566</v>
      </c>
      <c r="N21" s="4">
        <f>IFERROR(VLOOKUP(A21,'Erba Ghisallo'!A:R,18,0),0)</f>
        <v>0</v>
      </c>
    </row>
    <row r="22" spans="1:14" x14ac:dyDescent="0.25">
      <c r="A22" s="8" t="s">
        <v>381</v>
      </c>
      <c r="B22" s="8" t="s">
        <v>376</v>
      </c>
      <c r="C22" s="62" t="s">
        <v>119</v>
      </c>
      <c r="G22" s="62" t="s">
        <v>97</v>
      </c>
      <c r="I22" s="79">
        <f>IFERROR(VLOOKUP(A22,'Nora Sciplino'!A$12:R$58,18,0),0)</f>
        <v>0</v>
      </c>
      <c r="J22" s="4">
        <f>IFERROR(VLOOKUP(A22,Castellotti!A:R,18,0),0)</f>
        <v>0</v>
      </c>
      <c r="K22" s="4">
        <f>IFERROR(VLOOKUP(A22,Solidarietà!A:R,18,0),0)</f>
        <v>0</v>
      </c>
      <c r="L22" s="4">
        <f>IFERROR(VLOOKUP(A22,'Giro del Lario'!A:R,18,0),0)</f>
        <v>0</v>
      </c>
      <c r="M22" s="4">
        <f>IFERROR(VLOOKUP(A22,'Campo dei Fiori'!A:R,18,0),0)</f>
        <v>0</v>
      </c>
      <c r="N22" s="4">
        <f>IFERROR(VLOOKUP(A22,'Erba Ghisallo'!A:R,18,0),0)</f>
        <v>0</v>
      </c>
    </row>
    <row r="23" spans="1:14" x14ac:dyDescent="0.25">
      <c r="A23" s="8" t="s">
        <v>382</v>
      </c>
      <c r="B23" s="8" t="s">
        <v>376</v>
      </c>
      <c r="C23" s="62" t="s">
        <v>119</v>
      </c>
      <c r="G23" s="62" t="s">
        <v>97</v>
      </c>
      <c r="I23" s="79">
        <f>IFERROR(VLOOKUP(A23,'Nora Sciplino'!A$12:R$58,18,0),0)</f>
        <v>0</v>
      </c>
      <c r="J23" s="4">
        <f>IFERROR(VLOOKUP(A23,Castellotti!A:R,18,0),0)</f>
        <v>0</v>
      </c>
      <c r="K23" s="4">
        <f>IFERROR(VLOOKUP(A23,Solidarietà!A:R,18,0),0)</f>
        <v>0</v>
      </c>
      <c r="L23" s="4">
        <f>IFERROR(VLOOKUP(A23,'Giro del Lario'!A:R,18,0),0)</f>
        <v>0</v>
      </c>
      <c r="M23" s="4">
        <f>IFERROR(VLOOKUP(A23,'Campo dei Fiori'!A:R,18,0),0)</f>
        <v>0</v>
      </c>
      <c r="N23" s="4">
        <f>IFERROR(VLOOKUP(A23,'Erba Ghisallo'!A:R,18,0),0)</f>
        <v>0</v>
      </c>
    </row>
    <row r="24" spans="1:14" x14ac:dyDescent="0.25">
      <c r="A24" s="8" t="s">
        <v>453</v>
      </c>
      <c r="B24" s="8" t="s">
        <v>376</v>
      </c>
      <c r="C24" s="62" t="s">
        <v>119</v>
      </c>
      <c r="D24" s="62" t="s">
        <v>7</v>
      </c>
      <c r="E24" s="62" t="s">
        <v>71</v>
      </c>
      <c r="I24" s="79">
        <f>IFERROR(VLOOKUP(A24,'Nora Sciplino'!A$12:R$58,18,0),0)</f>
        <v>0</v>
      </c>
      <c r="J24" s="4">
        <f>IFERROR(VLOOKUP(A24,Castellotti!A:R,18,0),0)</f>
        <v>0</v>
      </c>
      <c r="K24" s="4">
        <f>IFERROR(VLOOKUP(A24,Solidarietà!A:R,18,0),0)</f>
        <v>0</v>
      </c>
      <c r="L24" s="4">
        <f>IFERROR(VLOOKUP(A24,'Giro del Lario'!A:R,18,0),0)</f>
        <v>0</v>
      </c>
      <c r="M24" s="4">
        <f>IFERROR(VLOOKUP(A24,'Campo dei Fiori'!A:R,18,0),0)</f>
        <v>71.405380333951754</v>
      </c>
      <c r="N24" s="4">
        <f>IFERROR(VLOOKUP(A24,'Erba Ghisallo'!A:R,18,0),0)</f>
        <v>0</v>
      </c>
    </row>
    <row r="25" spans="1:14" x14ac:dyDescent="0.25">
      <c r="A25" s="8" t="s">
        <v>350</v>
      </c>
      <c r="B25" s="105" t="s">
        <v>175</v>
      </c>
      <c r="C25" s="62" t="s">
        <v>119</v>
      </c>
      <c r="D25" s="62" t="s">
        <v>71</v>
      </c>
      <c r="G25" s="62" t="s">
        <v>97</v>
      </c>
      <c r="I25" s="79">
        <f>IFERROR(VLOOKUP(A25,'Nora Sciplino'!A$12:R$58,18,0),0)</f>
        <v>0</v>
      </c>
      <c r="J25" s="4">
        <f>IFERROR(VLOOKUP(A25,Castellotti!A:R,18,0),0)</f>
        <v>0</v>
      </c>
      <c r="K25" s="4">
        <f>IFERROR(VLOOKUP(A25,Solidarietà!A:R,18,0),0)</f>
        <v>0</v>
      </c>
      <c r="L25" s="4">
        <f>IFERROR(VLOOKUP(A25,'Giro del Lario'!A:R,18,0),0)</f>
        <v>52.972444444444442</v>
      </c>
      <c r="M25" s="4">
        <f>IFERROR(VLOOKUP(A25,'Campo dei Fiori'!A:R,18,0),0)</f>
        <v>0</v>
      </c>
      <c r="N25" s="4">
        <f>IFERROR(VLOOKUP(A25,'Erba Ghisallo'!A:R,18,0),0)</f>
        <v>0</v>
      </c>
    </row>
    <row r="26" spans="1:14" x14ac:dyDescent="0.25">
      <c r="A26" s="8" t="s">
        <v>192</v>
      </c>
      <c r="B26" s="8" t="s">
        <v>99</v>
      </c>
      <c r="C26" s="62" t="s">
        <v>119</v>
      </c>
      <c r="I26" s="79">
        <f>IFERROR(VLOOKUP(A26,'Nora Sciplino'!A$12:R$58,18,0),0)</f>
        <v>0</v>
      </c>
      <c r="J26" s="4">
        <f>IFERROR(VLOOKUP(A26,Castellotti!A:R,18,0),0)</f>
        <v>31.984615384615385</v>
      </c>
      <c r="K26" s="4">
        <f>IFERROR(VLOOKUP(A26,Solidarietà!A:R,18,0),0)</f>
        <v>0</v>
      </c>
      <c r="L26" s="4">
        <f>IFERROR(VLOOKUP(A26,'Giro del Lario'!A:R,18,0),0)</f>
        <v>0</v>
      </c>
      <c r="M26" s="4">
        <f>IFERROR(VLOOKUP(A26,'Campo dei Fiori'!A:R,18,0),0)</f>
        <v>0</v>
      </c>
      <c r="N26" s="4">
        <f>IFERROR(VLOOKUP(A26,'Erba Ghisallo'!A:R,18,0),0)</f>
        <v>0</v>
      </c>
    </row>
    <row r="27" spans="1:14" x14ac:dyDescent="0.25">
      <c r="A27" s="8" t="s">
        <v>383</v>
      </c>
      <c r="B27" s="8" t="s">
        <v>376</v>
      </c>
      <c r="C27" s="62" t="s">
        <v>119</v>
      </c>
      <c r="G27" s="62" t="s">
        <v>97</v>
      </c>
      <c r="I27" s="79">
        <f>IFERROR(VLOOKUP(A27,'Nora Sciplino'!A$12:R$58,18,0),0)</f>
        <v>0</v>
      </c>
      <c r="J27" s="4">
        <f>IFERROR(VLOOKUP(A27,Castellotti!A:R,18,0),0)</f>
        <v>0</v>
      </c>
      <c r="K27" s="4">
        <f>IFERROR(VLOOKUP(A27,Solidarietà!A:R,18,0),0)</f>
        <v>0</v>
      </c>
      <c r="L27" s="4">
        <f>IFERROR(VLOOKUP(A27,'Giro del Lario'!A:R,18,0),0)</f>
        <v>0</v>
      </c>
      <c r="M27" s="4">
        <f>IFERROR(VLOOKUP(A27,'Campo dei Fiori'!A:R,18,0),0)</f>
        <v>0</v>
      </c>
      <c r="N27" s="4">
        <f>IFERROR(VLOOKUP(A27,'Erba Ghisallo'!A:R,18,0),0)</f>
        <v>0</v>
      </c>
    </row>
    <row r="28" spans="1:14" x14ac:dyDescent="0.25">
      <c r="A28" s="8" t="s">
        <v>222</v>
      </c>
      <c r="B28" s="8" t="s">
        <v>175</v>
      </c>
      <c r="C28" s="62" t="s">
        <v>33</v>
      </c>
      <c r="I28" s="79">
        <f>IFERROR(VLOOKUP(A28,'Nora Sciplino'!A$12:R$58,18,0),0)</f>
        <v>0</v>
      </c>
      <c r="J28" s="4">
        <f>IFERROR(VLOOKUP(A28,Castellotti!A:R,18,0),0)</f>
        <v>2.8923076923076922</v>
      </c>
      <c r="K28" s="4">
        <f>IFERROR(VLOOKUP(A28,Solidarietà!A:R,18,0),0)</f>
        <v>0</v>
      </c>
      <c r="L28" s="4">
        <f>IFERROR(VLOOKUP(A28,'Giro del Lario'!A:R,18,0),0)</f>
        <v>0</v>
      </c>
      <c r="M28" s="4">
        <f>IFERROR(VLOOKUP(A28,'Campo dei Fiori'!A:R,18,0),0)</f>
        <v>0</v>
      </c>
      <c r="N28" s="4">
        <f>IFERROR(VLOOKUP(A28,'Erba Ghisallo'!A:R,18,0),0)</f>
        <v>2.8510638297872339</v>
      </c>
    </row>
    <row r="29" spans="1:14" x14ac:dyDescent="0.25">
      <c r="A29" s="8" t="s">
        <v>194</v>
      </c>
      <c r="B29" s="8" t="s">
        <v>99</v>
      </c>
      <c r="C29" s="62" t="s">
        <v>119</v>
      </c>
      <c r="I29" s="79">
        <f>IFERROR(VLOOKUP(A29,'Nora Sciplino'!A$12:R$58,18,0),0)</f>
        <v>0</v>
      </c>
      <c r="J29" s="4">
        <f>IFERROR(VLOOKUP(A29,Castellotti!A:R,18,0),0)</f>
        <v>49.630769230769232</v>
      </c>
      <c r="K29" s="4">
        <f>IFERROR(VLOOKUP(A29,Solidarietà!A:R,18,0),0)</f>
        <v>0</v>
      </c>
      <c r="L29" s="4">
        <f>IFERROR(VLOOKUP(A29,'Giro del Lario'!A:R,18,0),0)</f>
        <v>0</v>
      </c>
      <c r="M29" s="4">
        <f>IFERROR(VLOOKUP(A29,'Campo dei Fiori'!A:R,18,0),0)</f>
        <v>0</v>
      </c>
      <c r="N29" s="4">
        <f>IFERROR(VLOOKUP(A29,'Erba Ghisallo'!A:R,18,0),0)</f>
        <v>0</v>
      </c>
    </row>
    <row r="30" spans="1:14" x14ac:dyDescent="0.25">
      <c r="A30" s="8" t="s">
        <v>29</v>
      </c>
      <c r="B30" s="8" t="s">
        <v>98</v>
      </c>
      <c r="C30" s="62" t="s">
        <v>33</v>
      </c>
      <c r="I30" s="79">
        <f>IFERROR(VLOOKUP(A30,'Nora Sciplino'!A$12:R$58,18,0),0)</f>
        <v>6.4923076923076923</v>
      </c>
      <c r="J30" s="4">
        <f>IFERROR(VLOOKUP(A30,Castellotti!A:R,18,0),0)</f>
        <v>0</v>
      </c>
      <c r="K30" s="4">
        <f>IFERROR(VLOOKUP(A30,Solidarietà!A:R,18,0),0)</f>
        <v>8.1428571428571423</v>
      </c>
      <c r="L30" s="4">
        <f>IFERROR(VLOOKUP(A30,'Giro del Lario'!A:R,18,0),0)</f>
        <v>0</v>
      </c>
      <c r="M30" s="4">
        <f>IFERROR(VLOOKUP(A30,'Campo dei Fiori'!A:R,18,0),0)</f>
        <v>0</v>
      </c>
      <c r="N30" s="4">
        <f>IFERROR(VLOOKUP(A30,'Erba Ghisallo'!A:R,18,0),0)</f>
        <v>9.0425531914893611</v>
      </c>
    </row>
    <row r="31" spans="1:14" x14ac:dyDescent="0.25">
      <c r="A31" s="8" t="s">
        <v>217</v>
      </c>
      <c r="B31" s="8" t="s">
        <v>98</v>
      </c>
      <c r="C31" s="62" t="s">
        <v>33</v>
      </c>
      <c r="E31" s="62" t="s">
        <v>71</v>
      </c>
      <c r="I31" s="79">
        <f>IFERROR(VLOOKUP(A31,'Nora Sciplino'!A$12:R$58,18,0),0)</f>
        <v>0</v>
      </c>
      <c r="J31" s="4">
        <f>IFERROR(VLOOKUP(A31,Castellotti!A:R,18,0),0)</f>
        <v>4.0153846153846153</v>
      </c>
      <c r="K31" s="4">
        <f>IFERROR(VLOOKUP(A31,Solidarietà!A:R,18,0),0)</f>
        <v>4.9714285714285715</v>
      </c>
      <c r="L31" s="4">
        <f>IFERROR(VLOOKUP(A31,'Giro del Lario'!A:R,18,0),0)</f>
        <v>4.9466666666666663</v>
      </c>
      <c r="M31" s="4">
        <f>IFERROR(VLOOKUP(A31,'Campo dei Fiori'!A:R,18,0),0)</f>
        <v>0</v>
      </c>
      <c r="N31" s="4">
        <f>IFERROR(VLOOKUP(A31,'Erba Ghisallo'!A:R,18,0),0)</f>
        <v>4.7493814943097474</v>
      </c>
    </row>
    <row r="32" spans="1:14" x14ac:dyDescent="0.25">
      <c r="A32" s="8" t="s">
        <v>458</v>
      </c>
      <c r="B32" s="8" t="s">
        <v>376</v>
      </c>
      <c r="C32" s="62" t="s">
        <v>119</v>
      </c>
      <c r="G32" s="62" t="s">
        <v>97</v>
      </c>
      <c r="I32" s="79">
        <f>IFERROR(VLOOKUP(A32,'Nora Sciplino'!A$12:R$58,18,0),0)</f>
        <v>0</v>
      </c>
      <c r="J32" s="4">
        <f>IFERROR(VLOOKUP(A32,Castellotti!A:R,18,0),0)</f>
        <v>0</v>
      </c>
      <c r="K32" s="4">
        <f>IFERROR(VLOOKUP(A32,Solidarietà!A:R,18,0),0)</f>
        <v>0</v>
      </c>
      <c r="L32" s="4">
        <f>IFERROR(VLOOKUP(A32,'Giro del Lario'!A:R,18,0),0)</f>
        <v>0</v>
      </c>
      <c r="M32" s="4">
        <f>IFERROR(VLOOKUP(A32,'Campo dei Fiori'!A:R,18,0),0)</f>
        <v>111.48809523809521</v>
      </c>
      <c r="N32" s="4">
        <f>IFERROR(VLOOKUP(A32,'Erba Ghisallo'!A:R,18,0),0)</f>
        <v>0</v>
      </c>
    </row>
    <row r="33" spans="1:14" x14ac:dyDescent="0.25">
      <c r="A33" s="8" t="s">
        <v>18</v>
      </c>
      <c r="B33" s="8" t="s">
        <v>66</v>
      </c>
      <c r="C33" s="62" t="s">
        <v>119</v>
      </c>
      <c r="I33" s="79">
        <f>IFERROR(VLOOKUP(A33,'Nora Sciplino'!A$12:R$58,18,0),0)</f>
        <v>28.6</v>
      </c>
      <c r="J33" s="4">
        <f>IFERROR(VLOOKUP(A33,Castellotti!A:R,18,0),0)</f>
        <v>26.753846153846155</v>
      </c>
      <c r="K33" s="4">
        <f>IFERROR(VLOOKUP(A33,Solidarietà!A:R,18,0),0)</f>
        <v>0</v>
      </c>
      <c r="L33" s="4">
        <f>IFERROR(VLOOKUP(A33,'Giro del Lario'!A:R,18,0),0)</f>
        <v>40.159999999999997</v>
      </c>
      <c r="M33" s="4">
        <f>IFERROR(VLOOKUP(A33,'Campo dei Fiori'!A:R,18,0),0)</f>
        <v>0</v>
      </c>
      <c r="N33" s="4">
        <f>IFERROR(VLOOKUP(A33,'Erba Ghisallo'!A:R,18,0),0)</f>
        <v>34.957446808510639</v>
      </c>
    </row>
    <row r="34" spans="1:14" x14ac:dyDescent="0.25">
      <c r="A34" s="8" t="s">
        <v>92</v>
      </c>
      <c r="B34" s="8" t="s">
        <v>66</v>
      </c>
      <c r="C34" s="62" t="s">
        <v>119</v>
      </c>
      <c r="G34" s="62" t="s">
        <v>97</v>
      </c>
      <c r="I34" s="79">
        <f>IFERROR(VLOOKUP(A34,'Nora Sciplino'!A$12:R$58,18,0),0)</f>
        <v>0</v>
      </c>
      <c r="J34" s="4">
        <f>IFERROR(VLOOKUP(A34,Castellotti!A:R,18,0),0)</f>
        <v>0</v>
      </c>
      <c r="K34" s="4">
        <f>IFERROR(VLOOKUP(A34,Solidarietà!A:R,18,0),0)</f>
        <v>0</v>
      </c>
      <c r="L34" s="4">
        <f>IFERROR(VLOOKUP(A34,'Giro del Lario'!A:R,18,0),0)</f>
        <v>0</v>
      </c>
      <c r="M34" s="4">
        <f>IFERROR(VLOOKUP(A34,'Campo dei Fiori'!A:R,18,0),0)</f>
        <v>0</v>
      </c>
      <c r="N34" s="4">
        <f>IFERROR(VLOOKUP(A34,'Erba Ghisallo'!A:R,18,0),0)</f>
        <v>0</v>
      </c>
    </row>
    <row r="35" spans="1:14" x14ac:dyDescent="0.25">
      <c r="A35" s="8" t="s">
        <v>76</v>
      </c>
      <c r="B35" s="8" t="s">
        <v>99</v>
      </c>
      <c r="C35" s="62" t="s">
        <v>33</v>
      </c>
      <c r="I35" s="79">
        <f>IFERROR(VLOOKUP(A35,'Nora Sciplino'!A$12:R$58,18,0),0)</f>
        <v>8.9230769230769234</v>
      </c>
      <c r="J35" s="4">
        <f>IFERROR(VLOOKUP(A35,Castellotti!A:R,18,0),0)</f>
        <v>5.8</v>
      </c>
      <c r="K35" s="4">
        <f>IFERROR(VLOOKUP(A35,Solidarietà!A:R,18,0),0)</f>
        <v>5.8142857142857141</v>
      </c>
      <c r="L35" s="4">
        <f>IFERROR(VLOOKUP(A35,'Giro del Lario'!A:R,18,0),0)</f>
        <v>0</v>
      </c>
      <c r="M35" s="4">
        <f>IFERROR(VLOOKUP(A35,'Campo dei Fiori'!A:R,18,0),0)</f>
        <v>0</v>
      </c>
      <c r="N35" s="4">
        <f>IFERROR(VLOOKUP(A35,'Erba Ghisallo'!A:R,18,0),0)</f>
        <v>9.5531914893617014</v>
      </c>
    </row>
    <row r="36" spans="1:14" x14ac:dyDescent="0.25">
      <c r="A36" s="8" t="s">
        <v>83</v>
      </c>
      <c r="B36" s="8" t="s">
        <v>99</v>
      </c>
      <c r="C36" s="62" t="s">
        <v>119</v>
      </c>
      <c r="I36" s="79">
        <f>IFERROR(VLOOKUP(A36,'Nora Sciplino'!A$12:R$58,18,0),0)</f>
        <v>35.492307692307691</v>
      </c>
      <c r="J36" s="4">
        <f>IFERROR(VLOOKUP(A36,Castellotti!A:R,18,0),0)</f>
        <v>45.938461538461539</v>
      </c>
      <c r="K36" s="4">
        <f>IFERROR(VLOOKUP(A36,Solidarietà!A:R,18,0),0)</f>
        <v>0</v>
      </c>
      <c r="L36" s="4">
        <f>IFERROR(VLOOKUP(A36,'Giro del Lario'!A:R,18,0),0)</f>
        <v>0</v>
      </c>
      <c r="M36" s="4">
        <f>IFERROR(VLOOKUP(A36,'Campo dei Fiori'!A:R,18,0),0)</f>
        <v>0</v>
      </c>
      <c r="N36" s="4" t="str">
        <f>IFERROR(VLOOKUP(A36,'Erba Ghisallo'!A:R,18,0),0)</f>
        <v>ND</v>
      </c>
    </row>
    <row r="37" spans="1:14" x14ac:dyDescent="0.25">
      <c r="A37" s="8" t="s">
        <v>89</v>
      </c>
      <c r="B37" s="8" t="s">
        <v>66</v>
      </c>
      <c r="C37" s="62" t="s">
        <v>119</v>
      </c>
      <c r="I37" s="79">
        <f>IFERROR(VLOOKUP(A37,'Nora Sciplino'!A$12:R$58,18,0),0)</f>
        <v>0</v>
      </c>
      <c r="J37" s="4">
        <f>IFERROR(VLOOKUP(A37,Castellotti!A:R,18,0),0)</f>
        <v>0</v>
      </c>
      <c r="K37" s="4">
        <f>IFERROR(VLOOKUP(A37,Solidarietà!A:R,18,0),0)</f>
        <v>0</v>
      </c>
      <c r="L37" s="4">
        <f>IFERROR(VLOOKUP(A37,'Giro del Lario'!A:R,18,0),0)</f>
        <v>0</v>
      </c>
      <c r="M37" s="4">
        <f>IFERROR(VLOOKUP(A37,'Campo dei Fiori'!A:R,18,0),0)</f>
        <v>0</v>
      </c>
      <c r="N37" s="4">
        <f>IFERROR(VLOOKUP(A37,'Erba Ghisallo'!A:R,18,0),0)</f>
        <v>0</v>
      </c>
    </row>
    <row r="38" spans="1:14" x14ac:dyDescent="0.25">
      <c r="A38" s="8" t="s">
        <v>384</v>
      </c>
      <c r="B38" s="8" t="s">
        <v>376</v>
      </c>
      <c r="C38" s="62" t="s">
        <v>119</v>
      </c>
      <c r="G38" s="62" t="s">
        <v>97</v>
      </c>
      <c r="I38" s="79">
        <f>IFERROR(VLOOKUP(A38,'Nora Sciplino'!A$12:R$58,18,0),0)</f>
        <v>0</v>
      </c>
      <c r="J38" s="4">
        <f>IFERROR(VLOOKUP(A38,Castellotti!A:R,18,0),0)</f>
        <v>0</v>
      </c>
      <c r="K38" s="4">
        <f>IFERROR(VLOOKUP(A38,Solidarietà!A:R,18,0),0)</f>
        <v>0</v>
      </c>
      <c r="L38" s="4">
        <f>IFERROR(VLOOKUP(A38,'Giro del Lario'!A:R,18,0),0)</f>
        <v>0</v>
      </c>
      <c r="M38" s="4">
        <f>IFERROR(VLOOKUP(A38,'Campo dei Fiori'!A:R,18,0),0)</f>
        <v>0</v>
      </c>
      <c r="N38" s="4">
        <f>IFERROR(VLOOKUP(A38,'Erba Ghisallo'!A:R,18,0),0)</f>
        <v>0</v>
      </c>
    </row>
    <row r="39" spans="1:14" x14ac:dyDescent="0.25">
      <c r="A39" s="8" t="s">
        <v>348</v>
      </c>
      <c r="B39" s="105" t="s">
        <v>175</v>
      </c>
      <c r="C39" s="62" t="s">
        <v>34</v>
      </c>
      <c r="G39" s="62" t="s">
        <v>97</v>
      </c>
      <c r="I39" s="79">
        <f>IFERROR(VLOOKUP(A39,'Nora Sciplino'!A$12:R$58,18,0),0)</f>
        <v>0</v>
      </c>
      <c r="J39" s="4">
        <f>IFERROR(VLOOKUP(A39,Castellotti!A:R,18,0),0)</f>
        <v>0</v>
      </c>
      <c r="K39" s="4">
        <f>IFERROR(VLOOKUP(A39,Solidarietà!A:R,18,0),0)</f>
        <v>0</v>
      </c>
      <c r="L39" s="4">
        <f>IFERROR(VLOOKUP(A39,'Giro del Lario'!A:R,18,0),0)</f>
        <v>63.251244444444445</v>
      </c>
      <c r="M39" s="4">
        <f>IFERROR(VLOOKUP(A39,'Campo dei Fiori'!A:R,18,0),0)</f>
        <v>0</v>
      </c>
      <c r="N39" s="4">
        <f>IFERROR(VLOOKUP(A39,'Erba Ghisallo'!A:R,18,0),0)</f>
        <v>91.978723404255319</v>
      </c>
    </row>
    <row r="40" spans="1:14" x14ac:dyDescent="0.25">
      <c r="A40" s="8" t="s">
        <v>354</v>
      </c>
      <c r="B40" s="105" t="s">
        <v>175</v>
      </c>
      <c r="C40" s="62" t="s">
        <v>119</v>
      </c>
      <c r="I40" s="79">
        <f>IFERROR(VLOOKUP(A40,'Nora Sciplino'!A$12:R$58,18,0),0)</f>
        <v>0</v>
      </c>
      <c r="J40" s="4">
        <f>IFERROR(VLOOKUP(A40,Castellotti!A:R,18,0),0)</f>
        <v>0</v>
      </c>
      <c r="K40" s="4">
        <f>IFERROR(VLOOKUP(A40,Solidarietà!A:R,18,0),0)</f>
        <v>0</v>
      </c>
      <c r="L40" s="4">
        <f>IFERROR(VLOOKUP(A40,'Giro del Lario'!A:R,18,0),0)</f>
        <v>146.60000000000002</v>
      </c>
      <c r="M40" s="4">
        <f>IFERROR(VLOOKUP(A40,'Campo dei Fiori'!A:R,18,0),0)</f>
        <v>0</v>
      </c>
      <c r="N40" s="4">
        <f>IFERROR(VLOOKUP(A40,'Erba Ghisallo'!A:R,18,0),0)</f>
        <v>65.021276595744695</v>
      </c>
    </row>
    <row r="41" spans="1:14" x14ac:dyDescent="0.25">
      <c r="A41" s="8" t="s">
        <v>90</v>
      </c>
      <c r="B41" s="8" t="s">
        <v>99</v>
      </c>
      <c r="C41" s="62" t="s">
        <v>119</v>
      </c>
      <c r="I41" s="79">
        <f>IFERROR(VLOOKUP(A41,'Nora Sciplino'!A$12:R$58,18,0),0)</f>
        <v>0</v>
      </c>
      <c r="J41" s="4">
        <f>IFERROR(VLOOKUP(A41,Castellotti!A:R,18,0),0)</f>
        <v>90.507692307692309</v>
      </c>
      <c r="K41" s="4">
        <f>IFERROR(VLOOKUP(A41,Solidarietà!A:R,18,0),0)</f>
        <v>0</v>
      </c>
      <c r="L41" s="4">
        <f>IFERROR(VLOOKUP(A41,'Giro del Lario'!A:R,18,0),0)</f>
        <v>0</v>
      </c>
      <c r="M41" s="4">
        <f>IFERROR(VLOOKUP(A41,'Campo dei Fiori'!A:R,18,0),0)</f>
        <v>0</v>
      </c>
      <c r="N41" s="4">
        <f>IFERROR(VLOOKUP(A41,'Erba Ghisallo'!A:R,18,0),0)</f>
        <v>0</v>
      </c>
    </row>
    <row r="42" spans="1:14" x14ac:dyDescent="0.25">
      <c r="A42" s="8" t="s">
        <v>349</v>
      </c>
      <c r="B42" s="105" t="s">
        <v>175</v>
      </c>
      <c r="C42" s="62" t="s">
        <v>119</v>
      </c>
      <c r="G42" s="62" t="s">
        <v>97</v>
      </c>
      <c r="I42" s="79">
        <f>IFERROR(VLOOKUP(A42,'Nora Sciplino'!A$12:R$58,18,0),0)</f>
        <v>0</v>
      </c>
      <c r="J42" s="4">
        <f>IFERROR(VLOOKUP(A42,Castellotti!A:R,18,0),0)</f>
        <v>0</v>
      </c>
      <c r="K42" s="4">
        <f>IFERROR(VLOOKUP(A42,Solidarietà!A:R,18,0),0)</f>
        <v>0</v>
      </c>
      <c r="L42" s="4">
        <f>IFERROR(VLOOKUP(A42,'Giro del Lario'!A:R,18,0),0)</f>
        <v>444.44</v>
      </c>
      <c r="M42" s="4">
        <f>IFERROR(VLOOKUP(A42,'Campo dei Fiori'!A:R,18,0),0)</f>
        <v>0</v>
      </c>
      <c r="N42" s="4">
        <f>IFERROR(VLOOKUP(A42,'Erba Ghisallo'!A:R,18,0),0)</f>
        <v>0</v>
      </c>
    </row>
    <row r="43" spans="1:14" x14ac:dyDescent="0.25">
      <c r="A43" s="8" t="s">
        <v>27</v>
      </c>
      <c r="B43" s="8" t="s">
        <v>66</v>
      </c>
      <c r="C43" s="62" t="s">
        <v>33</v>
      </c>
      <c r="I43" s="79">
        <f>IFERROR(VLOOKUP(A43,'Nora Sciplino'!A$12:R$58,18,0),0)</f>
        <v>3.8307692307692309</v>
      </c>
      <c r="J43" s="4">
        <f>IFERROR(VLOOKUP(A43,Castellotti!A:R,18,0),0)</f>
        <v>0</v>
      </c>
      <c r="K43" s="4">
        <f>IFERROR(VLOOKUP(A43,Solidarietà!A:R,18,0),0)</f>
        <v>0</v>
      </c>
      <c r="L43" s="4">
        <f>IFERROR(VLOOKUP(A43,'Giro del Lario'!A:R,18,0),0)</f>
        <v>0</v>
      </c>
      <c r="M43" s="4">
        <f>IFERROR(VLOOKUP(A43,'Campo dei Fiori'!A:R,18,0),0)</f>
        <v>0</v>
      </c>
      <c r="N43" s="4">
        <f>IFERROR(VLOOKUP(A43,'Erba Ghisallo'!A:R,18,0),0)</f>
        <v>0</v>
      </c>
    </row>
    <row r="44" spans="1:14" x14ac:dyDescent="0.25">
      <c r="A44" s="8" t="s">
        <v>93</v>
      </c>
      <c r="B44" s="8" t="s">
        <v>100</v>
      </c>
      <c r="C44" s="62" t="s">
        <v>119</v>
      </c>
      <c r="I44" s="79">
        <f>IFERROR(VLOOKUP(A44,'Nora Sciplino'!A$12:R$58,18,0),0)</f>
        <v>0</v>
      </c>
      <c r="J44" s="4">
        <f>IFERROR(VLOOKUP(A44,Castellotti!A:R,18,0),0)</f>
        <v>0</v>
      </c>
      <c r="K44" s="4">
        <f>IFERROR(VLOOKUP(A44,Solidarietà!A:R,18,0),0)</f>
        <v>0</v>
      </c>
      <c r="L44" s="4">
        <f>IFERROR(VLOOKUP(A44,'Giro del Lario'!A:R,18,0),0)</f>
        <v>0</v>
      </c>
      <c r="M44" s="4">
        <f>IFERROR(VLOOKUP(A44,'Campo dei Fiori'!A:R,18,0),0)</f>
        <v>0</v>
      </c>
      <c r="N44" s="4">
        <f>IFERROR(VLOOKUP(A44,'Erba Ghisallo'!A:R,18,0),0)</f>
        <v>0</v>
      </c>
    </row>
    <row r="45" spans="1:14" x14ac:dyDescent="0.25">
      <c r="A45" s="8" t="s">
        <v>488</v>
      </c>
      <c r="B45" s="8" t="s">
        <v>175</v>
      </c>
      <c r="C45" s="62" t="s">
        <v>119</v>
      </c>
      <c r="E45" s="62" t="s">
        <v>71</v>
      </c>
      <c r="I45" s="79">
        <f>IFERROR(VLOOKUP(A45,'Nora Sciplino'!A$12:R$58,18,0),0)</f>
        <v>0</v>
      </c>
      <c r="J45" s="4">
        <f>IFERROR(VLOOKUP(A45,Castellotti!A:R,18,0),0)</f>
        <v>0</v>
      </c>
      <c r="K45" s="4">
        <f>IFERROR(VLOOKUP(A45,Solidarietà!A:R,18,0),0)</f>
        <v>0</v>
      </c>
      <c r="L45" s="4">
        <f>IFERROR(VLOOKUP(A45,'Giro del Lario'!A:R,18,0),0)</f>
        <v>0</v>
      </c>
      <c r="M45" s="4">
        <f>IFERROR(VLOOKUP(A45,'Campo dei Fiori'!A:R,18,0),0)</f>
        <v>0</v>
      </c>
      <c r="N45" s="4">
        <f>IFERROR(VLOOKUP(A45,'Erba Ghisallo'!A:R,18,0),0)</f>
        <v>27.446808510638299</v>
      </c>
    </row>
    <row r="46" spans="1:14" x14ac:dyDescent="0.25">
      <c r="A46" s="8" t="s">
        <v>554</v>
      </c>
      <c r="B46" s="8" t="s">
        <v>376</v>
      </c>
      <c r="C46" s="62" t="s">
        <v>119</v>
      </c>
      <c r="G46" s="62" t="s">
        <v>97</v>
      </c>
      <c r="I46" s="79">
        <f>IFERROR(VLOOKUP(A46,'Nora Sciplino'!A$12:R$58,18,0),0)</f>
        <v>71.492307692307691</v>
      </c>
    </row>
    <row r="47" spans="1:14" x14ac:dyDescent="0.25">
      <c r="A47" s="8" t="s">
        <v>88</v>
      </c>
      <c r="B47" s="8" t="s">
        <v>66</v>
      </c>
      <c r="C47" s="62" t="s">
        <v>119</v>
      </c>
      <c r="I47" s="79">
        <f>IFERROR(VLOOKUP(A47,'Nora Sciplino'!A$12:R$58,18,0),0)</f>
        <v>76.015384615384619</v>
      </c>
      <c r="J47" s="4">
        <f>IFERROR(VLOOKUP(A47,Castellotti!A:R,18,0),0)</f>
        <v>0</v>
      </c>
      <c r="K47" s="4">
        <f>IFERROR(VLOOKUP(A47,Solidarietà!A:R,18,0),0)</f>
        <v>0</v>
      </c>
      <c r="L47" s="4">
        <f>IFERROR(VLOOKUP(A47,'Giro del Lario'!A:R,18,0),0)</f>
        <v>0</v>
      </c>
      <c r="M47" s="4">
        <f>IFERROR(VLOOKUP(A47,'Campo dei Fiori'!A:R,18,0),0)</f>
        <v>0</v>
      </c>
      <c r="N47" s="4">
        <f>IFERROR(VLOOKUP(A47,'Erba Ghisallo'!A:R,18,0),0)</f>
        <v>0</v>
      </c>
    </row>
    <row r="48" spans="1:14" x14ac:dyDescent="0.25">
      <c r="A48" s="8" t="s">
        <v>456</v>
      </c>
      <c r="B48" s="8" t="s">
        <v>66</v>
      </c>
      <c r="C48" s="62" t="s">
        <v>119</v>
      </c>
      <c r="G48" s="62" t="s">
        <v>97</v>
      </c>
      <c r="I48" s="79">
        <f>IFERROR(VLOOKUP(A48,'Nora Sciplino'!A$12:R$58,18,0),0)</f>
        <v>0</v>
      </c>
      <c r="J48" s="4">
        <f>IFERROR(VLOOKUP(A48,Castellotti!A:R,18,0),0)</f>
        <v>0</v>
      </c>
      <c r="K48" s="4">
        <f>IFERROR(VLOOKUP(A48,Solidarietà!A:R,18,0),0)</f>
        <v>0</v>
      </c>
      <c r="L48" s="4">
        <f>IFERROR(VLOOKUP(A48,'Giro del Lario'!A:R,18,0),0)</f>
        <v>0</v>
      </c>
      <c r="M48" s="4">
        <f>IFERROR(VLOOKUP(A48,'Campo dei Fiori'!A:R,18,0),0)</f>
        <v>81.452380952380963</v>
      </c>
      <c r="N48" s="4">
        <f>IFERROR(VLOOKUP(A48,'Erba Ghisallo'!A:R,18,0),0)</f>
        <v>0</v>
      </c>
    </row>
    <row r="49" spans="1:14" x14ac:dyDescent="0.25">
      <c r="A49" s="8" t="s">
        <v>490</v>
      </c>
      <c r="B49" s="8" t="s">
        <v>68</v>
      </c>
      <c r="C49" s="62" t="s">
        <v>34</v>
      </c>
      <c r="I49" s="79">
        <f>IFERROR(VLOOKUP(A49,'Nora Sciplino'!A$12:R$58,18,0),0)</f>
        <v>0</v>
      </c>
      <c r="J49" s="4">
        <f>IFERROR(VLOOKUP(A49,Castellotti!A:R,18,0),0)</f>
        <v>0</v>
      </c>
      <c r="K49" s="4">
        <f>IFERROR(VLOOKUP(A49,Solidarietà!A:R,18,0),0)</f>
        <v>0</v>
      </c>
      <c r="L49" s="4">
        <f>IFERROR(VLOOKUP(A49,'Giro del Lario'!A:R,18,0),0)</f>
        <v>0</v>
      </c>
      <c r="M49" s="4">
        <f>IFERROR(VLOOKUP(A49,'Campo dei Fiori'!A:R,18,0),0)</f>
        <v>0</v>
      </c>
      <c r="N49" s="4">
        <f>IFERROR(VLOOKUP(A49,'Erba Ghisallo'!A:R,18,0),0)</f>
        <v>12.872340425531915</v>
      </c>
    </row>
    <row r="50" spans="1:14" x14ac:dyDescent="0.25">
      <c r="A50" s="8" t="s">
        <v>448</v>
      </c>
      <c r="B50" s="8" t="s">
        <v>66</v>
      </c>
      <c r="C50" s="62" t="s">
        <v>34</v>
      </c>
      <c r="I50" s="79">
        <f>IFERROR(VLOOKUP(A50,'Nora Sciplino'!A$12:R$58,18,0),0)</f>
        <v>0</v>
      </c>
      <c r="J50" s="4">
        <f>IFERROR(VLOOKUP(A50,Castellotti!A:R,18,0),0)</f>
        <v>0</v>
      </c>
      <c r="K50" s="4">
        <f>IFERROR(VLOOKUP(A50,Solidarietà!A:R,18,0),0)</f>
        <v>0</v>
      </c>
      <c r="L50" s="4">
        <f>IFERROR(VLOOKUP(A50,'Giro del Lario'!A:R,18,0),0)</f>
        <v>0</v>
      </c>
      <c r="M50" s="4">
        <f>IFERROR(VLOOKUP(A50,'Campo dei Fiori'!A:R,18,0),0)</f>
        <v>8.4166666666666661</v>
      </c>
      <c r="N50" s="4">
        <f>IFERROR(VLOOKUP(A50,'Erba Ghisallo'!A:R,18,0),0)</f>
        <v>0</v>
      </c>
    </row>
    <row r="51" spans="1:14" x14ac:dyDescent="0.25">
      <c r="A51" s="80" t="s">
        <v>573</v>
      </c>
      <c r="B51" s="8" t="s">
        <v>98</v>
      </c>
      <c r="C51" s="62" t="s">
        <v>119</v>
      </c>
      <c r="I51" s="79">
        <f>IFERROR(VLOOKUP(A51,'Nora Sciplino'!A$12:R$58,18,0),0)</f>
        <v>0</v>
      </c>
      <c r="J51" s="4">
        <f>IFERROR(VLOOKUP(A51,Castellotti!A:R,18,0),0)</f>
        <v>0</v>
      </c>
      <c r="K51" s="4">
        <f>IFERROR(VLOOKUP(A51,Solidarietà!A:R,18,0),0)</f>
        <v>0</v>
      </c>
      <c r="L51" s="4">
        <f>IFERROR(VLOOKUP(A51,'Giro del Lario'!A:R,18,0),0)</f>
        <v>0</v>
      </c>
      <c r="M51" s="4">
        <f>IFERROR(VLOOKUP(A51,'Campo dei Fiori'!A:R,18,0),0)</f>
        <v>0</v>
      </c>
      <c r="N51" s="4">
        <f>IFERROR(VLOOKUP(A51,'Erba Ghisallo'!A:R,18,0),0)</f>
        <v>0</v>
      </c>
    </row>
    <row r="52" spans="1:14" x14ac:dyDescent="0.25">
      <c r="A52" s="8" t="s">
        <v>193</v>
      </c>
      <c r="B52" s="8" t="s">
        <v>99</v>
      </c>
      <c r="C52" s="62" t="s">
        <v>119</v>
      </c>
      <c r="E52" s="62" t="s">
        <v>71</v>
      </c>
      <c r="I52" s="79">
        <f>IFERROR(VLOOKUP(A52,'Nora Sciplino'!A$12:R$58,18,0),0)</f>
        <v>0</v>
      </c>
      <c r="J52" s="4">
        <f>IFERROR(VLOOKUP(A52,Castellotti!A:R,18,0),0)</f>
        <v>73.046153846153842</v>
      </c>
      <c r="K52" s="4">
        <f>IFERROR(VLOOKUP(A52,Solidarietà!A:R,18,0),0)</f>
        <v>0</v>
      </c>
      <c r="L52" s="4">
        <f>IFERROR(VLOOKUP(A52,'Giro del Lario'!A:R,18,0),0)</f>
        <v>0</v>
      </c>
      <c r="M52" s="4">
        <f>IFERROR(VLOOKUP(A52,'Campo dei Fiori'!A:R,18,0),0)</f>
        <v>0</v>
      </c>
      <c r="N52" s="4">
        <f>IFERROR(VLOOKUP(A52,'Erba Ghisallo'!A:R,18,0),0)</f>
        <v>0</v>
      </c>
    </row>
    <row r="53" spans="1:14" x14ac:dyDescent="0.25">
      <c r="A53" s="8" t="s">
        <v>78</v>
      </c>
      <c r="B53" s="8" t="s">
        <v>66</v>
      </c>
      <c r="C53" s="62" t="s">
        <v>34</v>
      </c>
      <c r="G53" s="62" t="s">
        <v>97</v>
      </c>
      <c r="I53" s="79">
        <f>IFERROR(VLOOKUP(A53,'Nora Sciplino'!A$12:R$58,18,0),0)</f>
        <v>10.969230769230769</v>
      </c>
    </row>
    <row r="54" spans="1:14" x14ac:dyDescent="0.25">
      <c r="A54" s="8" t="s">
        <v>555</v>
      </c>
      <c r="B54" s="8" t="s">
        <v>376</v>
      </c>
      <c r="C54" s="62" t="s">
        <v>34</v>
      </c>
      <c r="I54" s="79">
        <f>IFERROR(VLOOKUP(A54,'Nora Sciplino'!A$12:R$58,18,0),0)</f>
        <v>10.323076923076924</v>
      </c>
      <c r="J54" s="4">
        <f>IFERROR(VLOOKUP(A54,Castellotti!A:R,18,0),0)</f>
        <v>0</v>
      </c>
      <c r="K54" s="4">
        <f>IFERROR(VLOOKUP(A54,Solidarietà!A:R,18,0),0)</f>
        <v>0</v>
      </c>
      <c r="L54" s="4">
        <f>IFERROR(VLOOKUP(A54,'Giro del Lario'!A:R,18,0),0)</f>
        <v>0</v>
      </c>
      <c r="M54" s="4">
        <f>IFERROR(VLOOKUP(A54,'Campo dei Fiori'!A:R,18,0),0)</f>
        <v>0</v>
      </c>
      <c r="N54" s="4">
        <f>IFERROR(VLOOKUP(A54,'Erba Ghisallo'!A:R,18,0),0)</f>
        <v>0</v>
      </c>
    </row>
    <row r="55" spans="1:14" x14ac:dyDescent="0.25">
      <c r="A55" s="8" t="s">
        <v>306</v>
      </c>
      <c r="B55" s="8" t="s">
        <v>98</v>
      </c>
      <c r="C55" s="62" t="s">
        <v>119</v>
      </c>
      <c r="I55" s="79">
        <f>IFERROR(VLOOKUP(A55,'Nora Sciplino'!A$12:R$58,18,0),0)</f>
        <v>0</v>
      </c>
      <c r="J55" s="4">
        <f>IFERROR(VLOOKUP(A55,Castellotti!A:R,18,0),0)</f>
        <v>0</v>
      </c>
      <c r="K55" s="4">
        <f>IFERROR(VLOOKUP(A55,Solidarietà!A:R,18,0),0)</f>
        <v>68.2</v>
      </c>
      <c r="L55" s="4">
        <f>IFERROR(VLOOKUP(A55,'Giro del Lario'!A:R,18,0),0)</f>
        <v>0</v>
      </c>
      <c r="M55" s="4">
        <f>IFERROR(VLOOKUP(A55,'Campo dei Fiori'!A:R,18,0),0)</f>
        <v>0</v>
      </c>
      <c r="N55" s="4">
        <f>IFERROR(VLOOKUP(A55,'Erba Ghisallo'!A:R,18,0),0)</f>
        <v>0</v>
      </c>
    </row>
    <row r="56" spans="1:14" x14ac:dyDescent="0.25">
      <c r="A56" s="8" t="s">
        <v>24</v>
      </c>
      <c r="B56" s="8" t="s">
        <v>66</v>
      </c>
      <c r="C56" s="62" t="s">
        <v>119</v>
      </c>
      <c r="I56" s="79">
        <f>IFERROR(VLOOKUP(A56,'Nora Sciplino'!A$12:R$58,18,0),0)</f>
        <v>25.615384615384617</v>
      </c>
      <c r="J56" s="4">
        <f>IFERROR(VLOOKUP(A56,Castellotti!A:R,18,0),0)</f>
        <v>0</v>
      </c>
      <c r="K56" s="4">
        <f>IFERROR(VLOOKUP(A56,Solidarietà!A:R,18,0),0)</f>
        <v>0</v>
      </c>
      <c r="L56" s="4">
        <f>IFERROR(VLOOKUP(A56,'Giro del Lario'!A:R,18,0),0)</f>
        <v>0</v>
      </c>
      <c r="M56" s="4">
        <f>IFERROR(VLOOKUP(A56,'Campo dei Fiori'!A:R,18,0),0)</f>
        <v>0</v>
      </c>
      <c r="N56" s="4">
        <f>IFERROR(VLOOKUP(A56,'Erba Ghisallo'!A:R,18,0),0)</f>
        <v>0</v>
      </c>
    </row>
    <row r="57" spans="1:14" x14ac:dyDescent="0.25">
      <c r="A57" s="8" t="s">
        <v>73</v>
      </c>
      <c r="B57" s="8" t="s">
        <v>66</v>
      </c>
      <c r="C57" s="62" t="s">
        <v>33</v>
      </c>
      <c r="I57" s="79">
        <f>IFERROR(VLOOKUP(A57,'Nora Sciplino'!A$12:R$58,18,0),0)</f>
        <v>7.046153846153846</v>
      </c>
      <c r="J57" s="4">
        <f>IFERROR(VLOOKUP(A57,Castellotti!A:R,18,0),0)</f>
        <v>0</v>
      </c>
      <c r="K57" s="4">
        <f>IFERROR(VLOOKUP(A57,Solidarietà!A:R,18,0),0)</f>
        <v>0</v>
      </c>
      <c r="L57" s="4">
        <f>IFERROR(VLOOKUP(A57,'Giro del Lario'!A:R,18,0),0)</f>
        <v>14.986666666666666</v>
      </c>
      <c r="M57" s="4">
        <f>IFERROR(VLOOKUP(A57,'Campo dei Fiori'!A:R,18,0),0)</f>
        <v>8.5119047619047628</v>
      </c>
      <c r="N57" s="4">
        <f>IFERROR(VLOOKUP(A57,'Erba Ghisallo'!A:R,18,0),0)</f>
        <v>0</v>
      </c>
    </row>
    <row r="58" spans="1:14" x14ac:dyDescent="0.25">
      <c r="A58" s="8" t="s">
        <v>22</v>
      </c>
      <c r="B58" s="8" t="s">
        <v>66</v>
      </c>
      <c r="C58" s="62" t="s">
        <v>33</v>
      </c>
      <c r="I58" s="79">
        <f>IFERROR(VLOOKUP(A58,'Nora Sciplino'!A$12:R$58,18,0),0)</f>
        <v>4.9230769230769234</v>
      </c>
      <c r="J58" s="4">
        <f>IFERROR(VLOOKUP(A58,Castellotti!A:R,18,0),0)</f>
        <v>0</v>
      </c>
      <c r="K58" s="4">
        <f>IFERROR(VLOOKUP(A58,Solidarietà!A:R,18,0),0)</f>
        <v>0</v>
      </c>
      <c r="L58" s="4">
        <f>IFERROR(VLOOKUP(A58,'Giro del Lario'!A:R,18,0),0)</f>
        <v>0</v>
      </c>
      <c r="M58" s="4">
        <f>IFERROR(VLOOKUP(A58,'Campo dei Fiori'!A:R,18,0),0)</f>
        <v>0</v>
      </c>
      <c r="N58" s="4">
        <f>IFERROR(VLOOKUP(A58,'Erba Ghisallo'!A:R,18,0),0)</f>
        <v>0</v>
      </c>
    </row>
    <row r="59" spans="1:14" x14ac:dyDescent="0.25">
      <c r="A59" s="8" t="s">
        <v>315</v>
      </c>
      <c r="B59" s="8" t="s">
        <v>100</v>
      </c>
      <c r="C59" s="62" t="s">
        <v>34</v>
      </c>
      <c r="I59" s="79">
        <f>IFERROR(VLOOKUP(A59,'Nora Sciplino'!A$12:R$58,18,0),0)</f>
        <v>9.7538461538461547</v>
      </c>
      <c r="J59" s="4">
        <f>IFERROR(VLOOKUP(A59,Castellotti!A:R,18,0),0)</f>
        <v>0</v>
      </c>
      <c r="K59" s="4">
        <f>IFERROR(VLOOKUP(A59,Solidarietà!A:R,18,0),0)</f>
        <v>7.7</v>
      </c>
      <c r="L59" s="4">
        <f>IFERROR(VLOOKUP(A59,'Giro del Lario'!A:R,18,0),0)</f>
        <v>0</v>
      </c>
      <c r="M59" s="4">
        <f>IFERROR(VLOOKUP(A59,'Campo dei Fiori'!A:R,18,0),0)</f>
        <v>8.3690476190476186</v>
      </c>
      <c r="N59" s="4">
        <f>IFERROR(VLOOKUP(A59,'Erba Ghisallo'!A:R,18,0),0)</f>
        <v>9.9361702127659566</v>
      </c>
    </row>
    <row r="60" spans="1:14" x14ac:dyDescent="0.25">
      <c r="A60" s="8" t="s">
        <v>94</v>
      </c>
      <c r="B60" s="8" t="s">
        <v>100</v>
      </c>
      <c r="C60" s="62" t="s">
        <v>119</v>
      </c>
      <c r="I60" s="79">
        <f>IFERROR(VLOOKUP(A60,'Nora Sciplino'!A$12:R$58,18,0),0)</f>
        <v>0</v>
      </c>
      <c r="J60" s="4">
        <f>IFERROR(VLOOKUP(A60,Castellotti!A:R,18,0),0)</f>
        <v>0</v>
      </c>
      <c r="K60" s="4">
        <f>IFERROR(VLOOKUP(A60,Solidarietà!A:R,18,0),0)</f>
        <v>0</v>
      </c>
      <c r="L60" s="4">
        <f>IFERROR(VLOOKUP(A60,'Giro del Lario'!A:R,18,0),0)</f>
        <v>0</v>
      </c>
      <c r="M60" s="4">
        <f>IFERROR(VLOOKUP(A60,'Campo dei Fiori'!A:R,18,0),0)</f>
        <v>0</v>
      </c>
      <c r="N60" s="4">
        <f>IFERROR(VLOOKUP(A60,'Erba Ghisallo'!A:R,18,0),0)</f>
        <v>0</v>
      </c>
    </row>
    <row r="61" spans="1:14" x14ac:dyDescent="0.25">
      <c r="A61" s="8" t="s">
        <v>211</v>
      </c>
      <c r="B61" s="8" t="s">
        <v>68</v>
      </c>
      <c r="C61" s="62" t="s">
        <v>34</v>
      </c>
      <c r="E61" s="62" t="s">
        <v>71</v>
      </c>
      <c r="I61" s="79">
        <f>IFERROR(VLOOKUP(A61,'Nora Sciplino'!A$12:R$58,18,0),0)</f>
        <v>0</v>
      </c>
      <c r="J61" s="4">
        <f>IFERROR(VLOOKUP(A61,Castellotti!A:R,18,0),0)</f>
        <v>13.876923076923077</v>
      </c>
      <c r="K61" s="4">
        <f>IFERROR(VLOOKUP(A61,Solidarietà!A:R,18,0),0)</f>
        <v>0</v>
      </c>
      <c r="L61" s="4">
        <f>IFERROR(VLOOKUP(A61,'Giro del Lario'!A:R,18,0),0)</f>
        <v>0</v>
      </c>
      <c r="M61" s="4">
        <f>IFERROR(VLOOKUP(A61,'Campo dei Fiori'!A:R,18,0),0)</f>
        <v>0</v>
      </c>
      <c r="N61" s="4">
        <f>IFERROR(VLOOKUP(A61,'Erba Ghisallo'!A:R,18,0),0)</f>
        <v>0</v>
      </c>
    </row>
    <row r="62" spans="1:14" x14ac:dyDescent="0.25">
      <c r="A62" s="8" t="s">
        <v>454</v>
      </c>
      <c r="B62" s="8" t="s">
        <v>68</v>
      </c>
      <c r="C62" s="62" t="s">
        <v>119</v>
      </c>
      <c r="I62" s="79">
        <f>IFERROR(VLOOKUP(A62,'Nora Sciplino'!A$12:R$58,18,0),0)</f>
        <v>0</v>
      </c>
      <c r="J62" s="4">
        <f>IFERROR(VLOOKUP(A62,Castellotti!A:R,18,0),0)</f>
        <v>0</v>
      </c>
      <c r="K62" s="4">
        <f>IFERROR(VLOOKUP(A62,Solidarietà!A:R,18,0),0)</f>
        <v>0</v>
      </c>
      <c r="L62" s="4">
        <f>IFERROR(VLOOKUP(A62,'Giro del Lario'!A:R,18,0),0)</f>
        <v>0</v>
      </c>
      <c r="M62" s="4">
        <f>IFERROR(VLOOKUP(A62,'Campo dei Fiori'!A:R,18,0),0)</f>
        <v>868.95203336809175</v>
      </c>
      <c r="N62" s="4">
        <f>IFERROR(VLOOKUP(A62,'Erba Ghisallo'!A:R,18,0),0)</f>
        <v>0</v>
      </c>
    </row>
    <row r="63" spans="1:14" x14ac:dyDescent="0.25">
      <c r="A63" s="80" t="s">
        <v>568</v>
      </c>
      <c r="B63" s="8" t="s">
        <v>66</v>
      </c>
      <c r="C63" s="62" t="s">
        <v>119</v>
      </c>
      <c r="I63" s="79">
        <f>IFERROR(VLOOKUP(A63,'Nora Sciplino'!A$12:R$58,18,0),0)</f>
        <v>0</v>
      </c>
      <c r="J63" s="4">
        <f>IFERROR(VLOOKUP(A63,Castellotti!A:R,18,0),0)</f>
        <v>0</v>
      </c>
      <c r="K63" s="4">
        <f>IFERROR(VLOOKUP(A63,Solidarietà!A:R,18,0),0)</f>
        <v>0</v>
      </c>
      <c r="L63" s="4">
        <f>IFERROR(VLOOKUP(A63,'Giro del Lario'!A:R,18,0),0)</f>
        <v>0</v>
      </c>
      <c r="M63" s="4">
        <f>IFERROR(VLOOKUP(A63,'Campo dei Fiori'!A:R,18,0),0)</f>
        <v>0</v>
      </c>
      <c r="N63" s="4">
        <f>IFERROR(VLOOKUP(A63,'Erba Ghisallo'!A:R,18,0),0)</f>
        <v>0</v>
      </c>
    </row>
    <row r="64" spans="1:14" x14ac:dyDescent="0.25">
      <c r="A64" s="8" t="s">
        <v>299</v>
      </c>
      <c r="B64" s="8" t="s">
        <v>172</v>
      </c>
      <c r="C64" s="62" t="s">
        <v>119</v>
      </c>
      <c r="I64" s="79">
        <f>IFERROR(VLOOKUP(A64,'Nora Sciplino'!A$12:R$58,18,0),0)</f>
        <v>41.307692307692307</v>
      </c>
      <c r="J64" s="4">
        <f>IFERROR(VLOOKUP(A64,Castellotti!A:R,18,0),0)</f>
        <v>0</v>
      </c>
      <c r="K64" s="4">
        <f>IFERROR(VLOOKUP(A64,Solidarietà!A:R,18,0),0)</f>
        <v>0</v>
      </c>
      <c r="L64" s="4">
        <f>IFERROR(VLOOKUP(A64,'Giro del Lario'!A:R,18,0),0)</f>
        <v>0</v>
      </c>
      <c r="M64" s="4">
        <f>IFERROR(VLOOKUP(A64,'Campo dei Fiori'!A:R,18,0),0)</f>
        <v>0</v>
      </c>
      <c r="N64" s="4">
        <f>IFERROR(VLOOKUP(A64,'Erba Ghisallo'!A:R,18,0),0)</f>
        <v>0</v>
      </c>
    </row>
    <row r="65" spans="1:14" x14ac:dyDescent="0.25">
      <c r="A65" s="8" t="s">
        <v>446</v>
      </c>
      <c r="B65" s="8" t="s">
        <v>376</v>
      </c>
      <c r="C65" s="62" t="s">
        <v>119</v>
      </c>
      <c r="D65" s="62" t="s">
        <v>71</v>
      </c>
      <c r="G65" s="62" t="s">
        <v>97</v>
      </c>
      <c r="I65" s="79">
        <f>IFERROR(VLOOKUP(A65,'Nora Sciplino'!A$12:R$58,18,0),0)</f>
        <v>0</v>
      </c>
      <c r="J65" s="4">
        <f>IFERROR(VLOOKUP(A65,Castellotti!A:R,18,0),0)</f>
        <v>0</v>
      </c>
      <c r="K65" s="4">
        <f>IFERROR(VLOOKUP(A65,Solidarietà!A:R,18,0),0)</f>
        <v>0</v>
      </c>
      <c r="L65" s="4">
        <f>IFERROR(VLOOKUP(A65,'Giro del Lario'!A:R,18,0),0)</f>
        <v>0</v>
      </c>
      <c r="M65" s="4">
        <f>IFERROR(VLOOKUP(A65,'Campo dei Fiori'!A:R,18,0),0)</f>
        <v>0</v>
      </c>
      <c r="N65" s="4">
        <f>IFERROR(VLOOKUP(A65,'Erba Ghisallo'!A:R,18,0),0)</f>
        <v>0</v>
      </c>
    </row>
    <row r="66" spans="1:14" x14ac:dyDescent="0.25">
      <c r="A66" s="8" t="s">
        <v>188</v>
      </c>
      <c r="B66" s="8" t="s">
        <v>99</v>
      </c>
      <c r="C66" s="62" t="s">
        <v>119</v>
      </c>
      <c r="I66" s="79">
        <f>IFERROR(VLOOKUP(A66,'Nora Sciplino'!A$12:R$58,18,0),0)</f>
        <v>0</v>
      </c>
      <c r="J66" s="4">
        <f>IFERROR(VLOOKUP(A66,Castellotti!A:R,18,0),0)</f>
        <v>63.061538461538461</v>
      </c>
      <c r="K66" s="4">
        <f>IFERROR(VLOOKUP(A66,Solidarietà!A:R,18,0),0)</f>
        <v>0</v>
      </c>
      <c r="L66" s="4">
        <f>IFERROR(VLOOKUP(A66,'Giro del Lario'!A:R,18,0),0)</f>
        <v>0</v>
      </c>
      <c r="M66" s="4">
        <f>IFERROR(VLOOKUP(A66,'Campo dei Fiori'!A:R,18,0),0)</f>
        <v>0</v>
      </c>
      <c r="N66" s="4">
        <f>IFERROR(VLOOKUP(A66,'Erba Ghisallo'!A:R,18,0),0)</f>
        <v>0</v>
      </c>
    </row>
    <row r="67" spans="1:14" x14ac:dyDescent="0.25">
      <c r="A67" s="8" t="s">
        <v>80</v>
      </c>
      <c r="B67" s="8" t="s">
        <v>100</v>
      </c>
      <c r="C67" s="62" t="s">
        <v>34</v>
      </c>
      <c r="I67" s="79">
        <f>IFERROR(VLOOKUP(A67,'Nora Sciplino'!A$12:R$58,18,0),0)</f>
        <v>13.123076923076923</v>
      </c>
      <c r="J67" s="4">
        <f>IFERROR(VLOOKUP(A67,Castellotti!A:R,18,0),0)</f>
        <v>0</v>
      </c>
      <c r="K67" s="4">
        <f>IFERROR(VLOOKUP(A67,Solidarietà!A:R,18,0),0)</f>
        <v>0</v>
      </c>
      <c r="L67" s="4">
        <f>IFERROR(VLOOKUP(A67,'Giro del Lario'!A:R,18,0),0)</f>
        <v>0</v>
      </c>
      <c r="M67" s="4">
        <f>IFERROR(VLOOKUP(A67,'Campo dei Fiori'!A:R,18,0),0)</f>
        <v>0</v>
      </c>
      <c r="N67" s="4">
        <f>IFERROR(VLOOKUP(A67,'Erba Ghisallo'!A:R,18,0),0)</f>
        <v>0</v>
      </c>
    </row>
    <row r="68" spans="1:14" x14ac:dyDescent="0.25">
      <c r="A68" s="8" t="s">
        <v>214</v>
      </c>
      <c r="B68" s="8" t="s">
        <v>171</v>
      </c>
      <c r="C68" s="62" t="s">
        <v>34</v>
      </c>
      <c r="I68" s="79">
        <f>IFERROR(VLOOKUP(A68,'Nora Sciplino'!A$12:R$58,18,0),0)</f>
        <v>0</v>
      </c>
      <c r="J68" s="4">
        <f>IFERROR(VLOOKUP(A68,Castellotti!A:R,18,0),0)</f>
        <v>11.338461538461539</v>
      </c>
      <c r="K68" s="4">
        <f>IFERROR(VLOOKUP(A68,Solidarietà!A:R,18,0),0)</f>
        <v>0</v>
      </c>
      <c r="L68" s="4">
        <f>IFERROR(VLOOKUP(A68,'Giro del Lario'!A:R,18,0),0)</f>
        <v>0</v>
      </c>
      <c r="M68" s="4">
        <f>IFERROR(VLOOKUP(A68,'Campo dei Fiori'!A:R,18,0),0)</f>
        <v>0</v>
      </c>
      <c r="N68" s="4">
        <f>IFERROR(VLOOKUP(A68,'Erba Ghisallo'!A:R,18,0),0)</f>
        <v>0</v>
      </c>
    </row>
    <row r="69" spans="1:14" x14ac:dyDescent="0.25">
      <c r="A69" s="8" t="s">
        <v>385</v>
      </c>
      <c r="B69" s="8" t="s">
        <v>376</v>
      </c>
      <c r="C69" s="62" t="s">
        <v>119</v>
      </c>
      <c r="G69" s="62" t="s">
        <v>97</v>
      </c>
      <c r="I69" s="79">
        <f>IFERROR(VLOOKUP(A69,'Nora Sciplino'!A$12:R$58,18,0),0)</f>
        <v>0</v>
      </c>
      <c r="J69" s="4">
        <f>IFERROR(VLOOKUP(A69,Castellotti!A:R,18,0),0)</f>
        <v>0</v>
      </c>
      <c r="K69" s="4">
        <f>IFERROR(VLOOKUP(A69,Solidarietà!A:R,18,0),0)</f>
        <v>0</v>
      </c>
      <c r="L69" s="4">
        <f>IFERROR(VLOOKUP(A69,'Giro del Lario'!A:R,18,0),0)</f>
        <v>0</v>
      </c>
      <c r="M69" s="4">
        <f>IFERROR(VLOOKUP(A69,'Campo dei Fiori'!A:R,18,0),0)</f>
        <v>0</v>
      </c>
      <c r="N69" s="4">
        <f>IFERROR(VLOOKUP(A69,'Erba Ghisallo'!A:R,18,0),0)</f>
        <v>0</v>
      </c>
    </row>
    <row r="70" spans="1:14" x14ac:dyDescent="0.25">
      <c r="A70" s="8" t="s">
        <v>498</v>
      </c>
      <c r="B70" s="8" t="s">
        <v>175</v>
      </c>
      <c r="C70" s="62" t="s">
        <v>119</v>
      </c>
      <c r="D70" s="62" t="s">
        <v>71</v>
      </c>
      <c r="I70" s="79">
        <f>IFERROR(VLOOKUP(A70,'Nora Sciplino'!A$12:R$58,18,0),0)</f>
        <v>0</v>
      </c>
      <c r="J70" s="4">
        <f>IFERROR(VLOOKUP(A70,Castellotti!A:R,18,0),0)</f>
        <v>0</v>
      </c>
      <c r="K70" s="4">
        <f>IFERROR(VLOOKUP(A70,Solidarietà!A:R,18,0),0)</f>
        <v>0</v>
      </c>
      <c r="L70" s="4">
        <f>IFERROR(VLOOKUP(A70,'Giro del Lario'!A:R,18,0),0)</f>
        <v>0</v>
      </c>
      <c r="M70" s="4">
        <f>IFERROR(VLOOKUP(A70,'Campo dei Fiori'!A:R,18,0),0)</f>
        <v>0</v>
      </c>
      <c r="N70" s="4">
        <f>IFERROR(VLOOKUP(A70,'Erba Ghisallo'!A:R,18,0),0)</f>
        <v>82.042553191489361</v>
      </c>
    </row>
    <row r="71" spans="1:14" x14ac:dyDescent="0.25">
      <c r="A71" s="8" t="s">
        <v>202</v>
      </c>
      <c r="B71" s="8" t="s">
        <v>99</v>
      </c>
      <c r="C71" s="62" t="s">
        <v>119</v>
      </c>
      <c r="I71" s="79">
        <f>IFERROR(VLOOKUP(A71,'Nora Sciplino'!A$12:R$58,18,0),0)</f>
        <v>0</v>
      </c>
      <c r="J71" s="4">
        <f>IFERROR(VLOOKUP(A71,Castellotti!A:R,18,0),0)</f>
        <v>41.8</v>
      </c>
      <c r="K71" s="4">
        <f>IFERROR(VLOOKUP(A71,Solidarietà!A:R,18,0),0)</f>
        <v>0</v>
      </c>
      <c r="L71" s="4">
        <f>IFERROR(VLOOKUP(A71,'Giro del Lario'!A:R,18,0),0)</f>
        <v>0</v>
      </c>
      <c r="M71" s="4">
        <f>IFERROR(VLOOKUP(A71,'Campo dei Fiori'!A:R,18,0),0)</f>
        <v>0</v>
      </c>
      <c r="N71" s="4">
        <f>IFERROR(VLOOKUP(A71,'Erba Ghisallo'!A:R,18,0),0)</f>
        <v>0</v>
      </c>
    </row>
    <row r="72" spans="1:14" x14ac:dyDescent="0.25">
      <c r="A72" s="8" t="s">
        <v>208</v>
      </c>
      <c r="B72" s="8" t="s">
        <v>170</v>
      </c>
      <c r="C72" s="62" t="s">
        <v>33</v>
      </c>
      <c r="I72" s="79">
        <f>IFERROR(VLOOKUP(A72,'Nora Sciplino'!A$12:R$58,18,0),0)</f>
        <v>0</v>
      </c>
      <c r="J72" s="4">
        <f>IFERROR(VLOOKUP(A72,Castellotti!A:R,18,0),0)</f>
        <v>6.7384615384615385</v>
      </c>
      <c r="K72" s="4">
        <f>IFERROR(VLOOKUP(A72,Solidarietà!A:R,18,0),0)</f>
        <v>0</v>
      </c>
      <c r="L72" s="4">
        <f>IFERROR(VLOOKUP(A72,'Giro del Lario'!A:R,18,0),0)</f>
        <v>0</v>
      </c>
      <c r="M72" s="4">
        <f>IFERROR(VLOOKUP(A72,'Campo dei Fiori'!A:R,18,0),0)</f>
        <v>0</v>
      </c>
      <c r="N72" s="4">
        <f>IFERROR(VLOOKUP(A72,'Erba Ghisallo'!A:R,18,0),0)</f>
        <v>0</v>
      </c>
    </row>
    <row r="73" spans="1:14" x14ac:dyDescent="0.25">
      <c r="A73" s="8" t="s">
        <v>17</v>
      </c>
      <c r="B73" s="8" t="s">
        <v>66</v>
      </c>
      <c r="C73" s="62" t="s">
        <v>33</v>
      </c>
      <c r="I73" s="79">
        <f>IFERROR(VLOOKUP(A73,'Nora Sciplino'!A$12:R$58,18,0),0)</f>
        <v>6.384615384615385</v>
      </c>
      <c r="J73" s="4">
        <f>IFERROR(VLOOKUP(A73,Castellotti!A:R,18,0),0)</f>
        <v>7.3384615384615381</v>
      </c>
      <c r="K73" s="4">
        <f>IFERROR(VLOOKUP(A73,Solidarietà!A:R,18,0),0)</f>
        <v>8.5714285714285712</v>
      </c>
      <c r="L73" s="4">
        <f>IFERROR(VLOOKUP(A73,'Giro del Lario'!A:R,18,0),0)</f>
        <v>7.1466666666666665</v>
      </c>
      <c r="M73" s="4">
        <f>IFERROR(VLOOKUP(A73,'Campo dei Fiori'!A:R,18,0),0)</f>
        <v>5.8928571428571432</v>
      </c>
      <c r="N73" s="4">
        <f>IFERROR(VLOOKUP(A73,'Erba Ghisallo'!A:R,18,0),0)</f>
        <v>5.7872340425531918</v>
      </c>
    </row>
    <row r="74" spans="1:14" x14ac:dyDescent="0.25">
      <c r="A74" s="8" t="s">
        <v>386</v>
      </c>
      <c r="B74" s="8" t="s">
        <v>376</v>
      </c>
      <c r="C74" s="62" t="s">
        <v>119</v>
      </c>
      <c r="G74" s="62" t="s">
        <v>97</v>
      </c>
      <c r="I74" s="79">
        <f>IFERROR(VLOOKUP(A74,'Nora Sciplino'!A$12:R$58,18,0),0)</f>
        <v>0</v>
      </c>
      <c r="J74" s="4">
        <f>IFERROR(VLOOKUP(A74,Castellotti!A:R,18,0),0)</f>
        <v>0</v>
      </c>
      <c r="K74" s="4">
        <f>IFERROR(VLOOKUP(A74,Solidarietà!A:R,18,0),0)</f>
        <v>0</v>
      </c>
      <c r="L74" s="4">
        <f>IFERROR(VLOOKUP(A74,'Giro del Lario'!A:R,18,0),0)</f>
        <v>0</v>
      </c>
      <c r="M74" s="4">
        <f>IFERROR(VLOOKUP(A74,'Campo dei Fiori'!A:R,18,0),0)</f>
        <v>0</v>
      </c>
      <c r="N74" s="4">
        <f>IFERROR(VLOOKUP(A74,'Erba Ghisallo'!A:R,18,0),0)</f>
        <v>0</v>
      </c>
    </row>
    <row r="75" spans="1:14" x14ac:dyDescent="0.25">
      <c r="A75" s="8" t="s">
        <v>205</v>
      </c>
      <c r="B75" s="8" t="s">
        <v>99</v>
      </c>
      <c r="C75" s="62" t="s">
        <v>119</v>
      </c>
      <c r="I75" s="79">
        <f>IFERROR(VLOOKUP(A75,'Nora Sciplino'!A$12:R$58,18,0),0)</f>
        <v>0</v>
      </c>
      <c r="J75" s="4">
        <f>IFERROR(VLOOKUP(A75,Castellotti!A:R,18,0),0)</f>
        <v>227.73846153846154</v>
      </c>
      <c r="K75" s="4">
        <f>IFERROR(VLOOKUP(A75,Solidarietà!A:R,18,0),0)</f>
        <v>0</v>
      </c>
      <c r="L75" s="4">
        <f>IFERROR(VLOOKUP(A75,'Giro del Lario'!A:R,18,0),0)</f>
        <v>0</v>
      </c>
      <c r="M75" s="4">
        <f>IFERROR(VLOOKUP(A75,'Campo dei Fiori'!A:R,18,0),0)</f>
        <v>0</v>
      </c>
      <c r="N75" s="4">
        <f>IFERROR(VLOOKUP(A75,'Erba Ghisallo'!A:R,18,0),0)</f>
        <v>0</v>
      </c>
    </row>
    <row r="76" spans="1:14" x14ac:dyDescent="0.25">
      <c r="A76" s="8" t="s">
        <v>212</v>
      </c>
      <c r="B76" s="8" t="s">
        <v>68</v>
      </c>
      <c r="C76" s="62" t="s">
        <v>119</v>
      </c>
      <c r="I76" s="79">
        <f>IFERROR(VLOOKUP(A76,'Nora Sciplino'!A$12:R$58,18,0),0)</f>
        <v>0</v>
      </c>
      <c r="J76" s="4">
        <f>IFERROR(VLOOKUP(A76,Castellotti!A:R,18,0),0)</f>
        <v>183.50769230769231</v>
      </c>
      <c r="K76" s="4">
        <f>IFERROR(VLOOKUP(A76,Solidarietà!A:R,18,0),0)</f>
        <v>0</v>
      </c>
      <c r="L76" s="4">
        <f>IFERROR(VLOOKUP(A76,'Giro del Lario'!A:R,18,0),0)</f>
        <v>0</v>
      </c>
      <c r="M76" s="4">
        <f>IFERROR(VLOOKUP(A76,'Campo dei Fiori'!A:R,18,0),0)</f>
        <v>0</v>
      </c>
      <c r="N76" s="4">
        <f>IFERROR(VLOOKUP(A76,'Erba Ghisallo'!A:R,18,0),0)</f>
        <v>0</v>
      </c>
    </row>
    <row r="77" spans="1:14" x14ac:dyDescent="0.25">
      <c r="A77" s="8" t="s">
        <v>387</v>
      </c>
      <c r="B77" s="8" t="s">
        <v>376</v>
      </c>
      <c r="C77" s="62" t="s">
        <v>119</v>
      </c>
      <c r="G77" s="62" t="s">
        <v>97</v>
      </c>
      <c r="I77" s="79">
        <f>IFERROR(VLOOKUP(A77,'Nora Sciplino'!A$12:R$58,18,0),0)</f>
        <v>53.261538461538464</v>
      </c>
      <c r="J77" s="4">
        <f>IFERROR(VLOOKUP(A77,Castellotti!A:R,18,0),0)</f>
        <v>0</v>
      </c>
      <c r="K77" s="4">
        <f>IFERROR(VLOOKUP(A77,Solidarietà!A:R,18,0),0)</f>
        <v>0</v>
      </c>
      <c r="L77" s="4">
        <f>IFERROR(VLOOKUP(A77,'Giro del Lario'!A:R,18,0),0)</f>
        <v>0</v>
      </c>
      <c r="M77" s="4">
        <f>IFERROR(VLOOKUP(A77,'Campo dei Fiori'!A:R,18,0),0)</f>
        <v>0</v>
      </c>
      <c r="N77" s="4">
        <f>IFERROR(VLOOKUP(A77,'Erba Ghisallo'!A:R,18,0),0)</f>
        <v>0</v>
      </c>
    </row>
    <row r="78" spans="1:14" x14ac:dyDescent="0.25">
      <c r="A78" s="8" t="s">
        <v>388</v>
      </c>
      <c r="B78" s="8" t="s">
        <v>376</v>
      </c>
      <c r="C78" s="62" t="s">
        <v>119</v>
      </c>
      <c r="G78" s="62" t="s">
        <v>97</v>
      </c>
      <c r="I78" s="79">
        <f>IFERROR(VLOOKUP(A78,'Nora Sciplino'!A$12:R$58,18,0),0)</f>
        <v>0</v>
      </c>
      <c r="J78" s="4">
        <f>IFERROR(VLOOKUP(A78,Castellotti!A:R,18,0),0)</f>
        <v>0</v>
      </c>
      <c r="K78" s="4">
        <f>IFERROR(VLOOKUP(A78,Solidarietà!A:R,18,0),0)</f>
        <v>0</v>
      </c>
      <c r="L78" s="4">
        <f>IFERROR(VLOOKUP(A78,'Giro del Lario'!A:R,18,0),0)</f>
        <v>0</v>
      </c>
      <c r="M78" s="4">
        <f>IFERROR(VLOOKUP(A78,'Campo dei Fiori'!A:R,18,0),0)</f>
        <v>778.08123249299717</v>
      </c>
      <c r="N78" s="4">
        <f>IFERROR(VLOOKUP(A78,'Erba Ghisallo'!A:R,18,0),0)</f>
        <v>0</v>
      </c>
    </row>
    <row r="79" spans="1:14" x14ac:dyDescent="0.25">
      <c r="A79" s="8" t="s">
        <v>491</v>
      </c>
      <c r="B79" s="8" t="s">
        <v>175</v>
      </c>
      <c r="C79" s="62" t="s">
        <v>119</v>
      </c>
      <c r="I79" s="79">
        <f>IFERROR(VLOOKUP(A79,'Nora Sciplino'!A$12:R$58,18,0),0)</f>
        <v>0</v>
      </c>
      <c r="J79" s="4">
        <f>IFERROR(VLOOKUP(A79,Castellotti!A:R,18,0),0)</f>
        <v>0</v>
      </c>
      <c r="K79" s="4">
        <f>IFERROR(VLOOKUP(A79,Solidarietà!A:R,18,0),0)</f>
        <v>0</v>
      </c>
      <c r="L79" s="4">
        <f>IFERROR(VLOOKUP(A79,'Giro del Lario'!A:R,18,0),0)</f>
        <v>0</v>
      </c>
      <c r="M79" s="4">
        <f>IFERROR(VLOOKUP(A79,'Campo dei Fiori'!A:R,18,0),0)</f>
        <v>0</v>
      </c>
      <c r="N79" s="4">
        <f>IFERROR(VLOOKUP(A79,'Erba Ghisallo'!A:R,18,0),0)</f>
        <v>22.595744680851062</v>
      </c>
    </row>
    <row r="80" spans="1:14" x14ac:dyDescent="0.25">
      <c r="A80" s="8" t="s">
        <v>389</v>
      </c>
      <c r="B80" s="8" t="s">
        <v>376</v>
      </c>
      <c r="C80" s="62" t="s">
        <v>119</v>
      </c>
      <c r="I80" s="79">
        <f>IFERROR(VLOOKUP(A80,'Nora Sciplino'!A$12:R$58,18,0),0)</f>
        <v>0</v>
      </c>
      <c r="J80" s="4">
        <f>IFERROR(VLOOKUP(A80,Castellotti!A:R,18,0),0)</f>
        <v>0</v>
      </c>
      <c r="K80" s="4">
        <f>IFERROR(VLOOKUP(A80,Solidarietà!A:R,18,0),0)</f>
        <v>0</v>
      </c>
      <c r="L80" s="4">
        <f>IFERROR(VLOOKUP(A80,'Giro del Lario'!A:R,18,0),0)</f>
        <v>0</v>
      </c>
      <c r="M80" s="4">
        <f>IFERROR(VLOOKUP(A80,'Campo dei Fiori'!A:R,18,0),0)</f>
        <v>0</v>
      </c>
      <c r="N80" s="4">
        <f>IFERROR(VLOOKUP(A80,'Erba Ghisallo'!A:R,18,0),0)</f>
        <v>0</v>
      </c>
    </row>
    <row r="81" spans="1:14" x14ac:dyDescent="0.25">
      <c r="A81" s="80" t="s">
        <v>569</v>
      </c>
      <c r="B81" s="8" t="s">
        <v>98</v>
      </c>
      <c r="C81" s="62" t="s">
        <v>119</v>
      </c>
      <c r="I81" s="79">
        <f>IFERROR(VLOOKUP(A81,'Nora Sciplino'!A$12:R$58,18,0),0)</f>
        <v>0</v>
      </c>
      <c r="J81" s="4">
        <f>IFERROR(VLOOKUP(A81,Castellotti!A:R,18,0),0)</f>
        <v>0</v>
      </c>
      <c r="K81" s="4">
        <f>IFERROR(VLOOKUP(A81,Solidarietà!A:R,18,0),0)</f>
        <v>0</v>
      </c>
      <c r="L81" s="4">
        <f>IFERROR(VLOOKUP(A81,'Giro del Lario'!A:R,18,0),0)</f>
        <v>0</v>
      </c>
      <c r="M81" s="4">
        <f>IFERROR(VLOOKUP(A81,'Campo dei Fiori'!A:R,18,0),0)</f>
        <v>0</v>
      </c>
      <c r="N81" s="4">
        <f>IFERROR(VLOOKUP(A81,'Erba Ghisallo'!A:R,18,0),0)</f>
        <v>0</v>
      </c>
    </row>
    <row r="82" spans="1:14" x14ac:dyDescent="0.25">
      <c r="A82" s="8" t="s">
        <v>355</v>
      </c>
      <c r="B82" s="105" t="s">
        <v>175</v>
      </c>
      <c r="C82" s="62" t="s">
        <v>119</v>
      </c>
      <c r="I82" s="79">
        <f>IFERROR(VLOOKUP(A82,'Nora Sciplino'!A$12:R$58,18,0),0)</f>
        <v>0</v>
      </c>
      <c r="J82" s="4">
        <f>IFERROR(VLOOKUP(A82,Castellotti!A:R,18,0),0)</f>
        <v>0</v>
      </c>
      <c r="K82" s="4">
        <f>IFERROR(VLOOKUP(A82,Solidarietà!A:R,18,0),0)</f>
        <v>0</v>
      </c>
      <c r="L82" s="4">
        <f>IFERROR(VLOOKUP(A82,'Giro del Lario'!A:R,18,0),0)</f>
        <v>18.88</v>
      </c>
      <c r="M82" s="4">
        <f>IFERROR(VLOOKUP(A82,'Campo dei Fiori'!A:R,18,0),0)</f>
        <v>0</v>
      </c>
      <c r="N82" s="4">
        <f>IFERROR(VLOOKUP(A82,'Erba Ghisallo'!A:R,18,0),0)</f>
        <v>19.628483630525164</v>
      </c>
    </row>
    <row r="83" spans="1:14" x14ac:dyDescent="0.25">
      <c r="A83" s="8" t="s">
        <v>219</v>
      </c>
      <c r="B83" s="8" t="s">
        <v>98</v>
      </c>
      <c r="C83" s="62" t="s">
        <v>119</v>
      </c>
      <c r="I83" s="79">
        <f>IFERROR(VLOOKUP(A83,'Nora Sciplino'!A$12:R$58,18,0),0)</f>
        <v>0</v>
      </c>
      <c r="J83" s="4">
        <f>IFERROR(VLOOKUP(A83,Castellotti!A:R,18,0),0)</f>
        <v>32.200000000000003</v>
      </c>
      <c r="K83" s="4">
        <f>IFERROR(VLOOKUP(A83,Solidarietà!A:R,18,0),0)</f>
        <v>27</v>
      </c>
      <c r="L83" s="4">
        <f>IFERROR(VLOOKUP(A83,'Giro del Lario'!A:R,18,0),0)</f>
        <v>0</v>
      </c>
      <c r="M83" s="4">
        <f>IFERROR(VLOOKUP(A83,'Campo dei Fiori'!A:R,18,0),0)</f>
        <v>0</v>
      </c>
      <c r="N83" s="4">
        <f>IFERROR(VLOOKUP(A83,'Erba Ghisallo'!A:R,18,0),0)</f>
        <v>0</v>
      </c>
    </row>
    <row r="84" spans="1:14" x14ac:dyDescent="0.25">
      <c r="A84" s="8" t="s">
        <v>445</v>
      </c>
      <c r="B84" s="8" t="s">
        <v>376</v>
      </c>
      <c r="C84" s="62" t="s">
        <v>119</v>
      </c>
      <c r="G84" s="62" t="s">
        <v>97</v>
      </c>
      <c r="I84" s="79">
        <f>IFERROR(VLOOKUP(A84,'Nora Sciplino'!A$12:R$58,18,0),0)</f>
        <v>0</v>
      </c>
      <c r="J84" s="4">
        <f>IFERROR(VLOOKUP(A84,Castellotti!A:R,18,0),0)</f>
        <v>0</v>
      </c>
      <c r="K84" s="4">
        <f>IFERROR(VLOOKUP(A84,Solidarietà!A:R,18,0),0)</f>
        <v>0</v>
      </c>
      <c r="L84" s="4">
        <f>IFERROR(VLOOKUP(A84,'Giro del Lario'!A:R,18,0),0)</f>
        <v>0</v>
      </c>
      <c r="M84" s="4">
        <f>IFERROR(VLOOKUP(A84,'Campo dei Fiori'!A:R,18,0),0)</f>
        <v>0</v>
      </c>
      <c r="N84" s="4">
        <f>IFERROR(VLOOKUP(A84,'Erba Ghisallo'!A:R,18,0),0)</f>
        <v>0</v>
      </c>
    </row>
    <row r="85" spans="1:14" x14ac:dyDescent="0.25">
      <c r="A85" t="s">
        <v>216</v>
      </c>
      <c r="B85" s="8" t="s">
        <v>171</v>
      </c>
      <c r="C85" s="62" t="s">
        <v>119</v>
      </c>
      <c r="I85" s="79">
        <f>IFERROR(VLOOKUP(A85,'Nora Sciplino'!A$12:R$58,18,0),0)</f>
        <v>0</v>
      </c>
      <c r="J85" s="4">
        <f>IFERROR(VLOOKUP(A85,Castellotti!A:R,18,0),0)</f>
        <v>258.86153846153849</v>
      </c>
      <c r="K85" s="4">
        <f>IFERROR(VLOOKUP(A85,Solidarietà!A:R,18,0),0)</f>
        <v>0</v>
      </c>
      <c r="L85" s="4">
        <f>IFERROR(VLOOKUP(A85,'Giro del Lario'!A:R,18,0),0)</f>
        <v>0</v>
      </c>
      <c r="M85" s="4">
        <f>IFERROR(VLOOKUP(A85,'Campo dei Fiori'!A:R,18,0),0)</f>
        <v>0</v>
      </c>
      <c r="N85" s="4">
        <f>IFERROR(VLOOKUP(A85,'Erba Ghisallo'!A:R,18,0),0)</f>
        <v>0</v>
      </c>
    </row>
    <row r="86" spans="1:14" x14ac:dyDescent="0.25">
      <c r="A86" s="8" t="s">
        <v>390</v>
      </c>
      <c r="B86" s="8" t="s">
        <v>376</v>
      </c>
      <c r="C86" s="62" t="s">
        <v>119</v>
      </c>
      <c r="I86" s="79">
        <f>IFERROR(VLOOKUP(A86,'Nora Sciplino'!A$12:R$58,18,0),0)</f>
        <v>0</v>
      </c>
      <c r="J86" s="4">
        <f>IFERROR(VLOOKUP(A86,Castellotti!A:R,18,0),0)</f>
        <v>0</v>
      </c>
      <c r="K86" s="4">
        <f>IFERROR(VLOOKUP(A86,Solidarietà!A:R,18,0),0)</f>
        <v>0</v>
      </c>
      <c r="L86" s="4">
        <f>IFERROR(VLOOKUP(A86,'Giro del Lario'!A:R,18,0),0)</f>
        <v>0</v>
      </c>
      <c r="M86" s="4">
        <f>IFERROR(VLOOKUP(A86,'Campo dei Fiori'!A:R,18,0),0)</f>
        <v>0</v>
      </c>
      <c r="N86" s="4">
        <f>IFERROR(VLOOKUP(A86,'Erba Ghisallo'!A:R,18,0),0)</f>
        <v>0</v>
      </c>
    </row>
    <row r="87" spans="1:14" x14ac:dyDescent="0.25">
      <c r="A87" s="8" t="s">
        <v>452</v>
      </c>
      <c r="B87" s="8" t="s">
        <v>66</v>
      </c>
      <c r="C87" s="62" t="s">
        <v>119</v>
      </c>
      <c r="I87" s="79">
        <f>IFERROR(VLOOKUP(A87,'Nora Sciplino'!A$12:R$58,18,0),0)</f>
        <v>0</v>
      </c>
      <c r="J87" s="4">
        <f>IFERROR(VLOOKUP(A87,Castellotti!A:R,18,0),0)</f>
        <v>0</v>
      </c>
      <c r="K87" s="4">
        <f>IFERROR(VLOOKUP(A87,Solidarietà!A:R,18,0),0)</f>
        <v>0</v>
      </c>
      <c r="L87" s="4">
        <f>IFERROR(VLOOKUP(A87,'Giro del Lario'!A:R,18,0),0)</f>
        <v>0</v>
      </c>
      <c r="M87" s="4">
        <f>IFERROR(VLOOKUP(A87,'Campo dei Fiori'!A:R,18,0),0)</f>
        <v>40.785714285714285</v>
      </c>
      <c r="N87" s="4">
        <f>IFERROR(VLOOKUP(A87,'Erba Ghisallo'!A:R,18,0),0)</f>
        <v>0</v>
      </c>
    </row>
    <row r="88" spans="1:14" x14ac:dyDescent="0.25">
      <c r="A88" s="9" t="s">
        <v>564</v>
      </c>
      <c r="B88" s="8" t="s">
        <v>100</v>
      </c>
      <c r="C88" s="62" t="s">
        <v>119</v>
      </c>
      <c r="I88" s="79">
        <f>IFERROR(VLOOKUP(A88,'Nora Sciplino'!A$12:R$58,18,0),0)</f>
        <v>0</v>
      </c>
      <c r="J88" s="4">
        <f>IFERROR(VLOOKUP(A88,Castellotti!A:R,18,0),0)</f>
        <v>0</v>
      </c>
      <c r="K88" s="4">
        <f>IFERROR(VLOOKUP(A88,Solidarietà!A:R,18,0),0)</f>
        <v>0</v>
      </c>
      <c r="L88" s="4">
        <f>IFERROR(VLOOKUP(A88,'Giro del Lario'!A:R,18,0),0)</f>
        <v>0</v>
      </c>
      <c r="M88" s="4">
        <f>IFERROR(VLOOKUP(A88,'Campo dei Fiori'!A:R,18,0),0)</f>
        <v>0</v>
      </c>
      <c r="N88" s="4">
        <f>IFERROR(VLOOKUP(A88,'Erba Ghisallo'!A:R,18,0),0)</f>
        <v>0</v>
      </c>
    </row>
    <row r="89" spans="1:14" x14ac:dyDescent="0.25">
      <c r="A89" s="8" t="s">
        <v>23</v>
      </c>
      <c r="B89" s="8" t="s">
        <v>99</v>
      </c>
      <c r="C89" s="62" t="s">
        <v>33</v>
      </c>
      <c r="I89" s="79">
        <f>IFERROR(VLOOKUP(A89,'Nora Sciplino'!A$12:R$58,18,0),0)</f>
        <v>5.4</v>
      </c>
      <c r="J89" s="4">
        <f>IFERROR(VLOOKUP(A89,Castellotti!A:R,18,0),0)</f>
        <v>5.8153846153846152</v>
      </c>
      <c r="K89" s="4">
        <f>IFERROR(VLOOKUP(A89,Solidarietà!A:R,18,0),0)</f>
        <v>5.0999999999999996</v>
      </c>
      <c r="L89" s="4">
        <f>IFERROR(VLOOKUP(A89,'Giro del Lario'!A:R,18,0),0)</f>
        <v>0</v>
      </c>
      <c r="M89" s="4">
        <f>IFERROR(VLOOKUP(A89,'Campo dei Fiori'!A:R,18,0),0)</f>
        <v>9.5476190476190474</v>
      </c>
      <c r="N89" s="4">
        <f>IFERROR(VLOOKUP(A89,'Erba Ghisallo'!A:R,18,0),0)</f>
        <v>0</v>
      </c>
    </row>
    <row r="90" spans="1:14" x14ac:dyDescent="0.25">
      <c r="A90" s="8" t="s">
        <v>502</v>
      </c>
      <c r="B90" s="8" t="s">
        <v>175</v>
      </c>
      <c r="C90" s="62" t="s">
        <v>119</v>
      </c>
      <c r="I90" s="79">
        <f>IFERROR(VLOOKUP(A90,'Nora Sciplino'!A$12:R$58,18,0),0)</f>
        <v>0</v>
      </c>
      <c r="J90" s="4">
        <f>IFERROR(VLOOKUP(A90,Castellotti!A:R,18,0),0)</f>
        <v>0</v>
      </c>
      <c r="K90" s="4">
        <f>IFERROR(VLOOKUP(A90,Solidarietà!A:R,18,0),0)</f>
        <v>0</v>
      </c>
      <c r="L90" s="4">
        <f>IFERROR(VLOOKUP(A90,'Giro del Lario'!A:R,18,0),0)</f>
        <v>0</v>
      </c>
      <c r="M90" s="4">
        <f>IFERROR(VLOOKUP(A90,'Campo dei Fiori'!A:R,18,0),0)</f>
        <v>0</v>
      </c>
      <c r="N90" s="4">
        <f>IFERROR(VLOOKUP(A90,'Erba Ghisallo'!A:R,18,0),0)</f>
        <v>49.851063829787236</v>
      </c>
    </row>
    <row r="91" spans="1:14" x14ac:dyDescent="0.25">
      <c r="A91" s="8" t="s">
        <v>457</v>
      </c>
      <c r="B91" s="8" t="s">
        <v>376</v>
      </c>
      <c r="C91" s="62" t="s">
        <v>119</v>
      </c>
      <c r="G91" s="62" t="s">
        <v>97</v>
      </c>
      <c r="I91" s="79">
        <f>IFERROR(VLOOKUP(A91,'Nora Sciplino'!A$12:R$58,18,0),0)</f>
        <v>0</v>
      </c>
      <c r="J91" s="4">
        <f>IFERROR(VLOOKUP(A91,Castellotti!A:R,18,0),0)</f>
        <v>0</v>
      </c>
      <c r="K91" s="4">
        <f>IFERROR(VLOOKUP(A91,Solidarietà!A:R,18,0),0)</f>
        <v>0</v>
      </c>
      <c r="L91" s="4">
        <f>IFERROR(VLOOKUP(A91,'Giro del Lario'!A:R,18,0),0)</f>
        <v>0</v>
      </c>
      <c r="M91" s="4">
        <f>IFERROR(VLOOKUP(A91,'Campo dei Fiori'!A:R,18,0),0)</f>
        <v>96.357142857142861</v>
      </c>
      <c r="N91" s="4">
        <f>IFERROR(VLOOKUP(A91,'Erba Ghisallo'!A:R,18,0),0)</f>
        <v>56.872340425531917</v>
      </c>
    </row>
    <row r="92" spans="1:14" x14ac:dyDescent="0.25">
      <c r="A92" s="8" t="s">
        <v>86</v>
      </c>
      <c r="B92" s="8" t="s">
        <v>100</v>
      </c>
      <c r="C92" s="62" t="s">
        <v>119</v>
      </c>
      <c r="I92" s="79">
        <f>IFERROR(VLOOKUP(A92,'Nora Sciplino'!A$12:R$58,18,0),0)</f>
        <v>53.892307692307689</v>
      </c>
      <c r="J92" s="4">
        <f>IFERROR(VLOOKUP(A92,Castellotti!A:R,18,0),0)</f>
        <v>0</v>
      </c>
      <c r="K92" s="4">
        <f>IFERROR(VLOOKUP(A92,Solidarietà!A:R,18,0),0)</f>
        <v>0</v>
      </c>
      <c r="L92" s="4">
        <f>IFERROR(VLOOKUP(A92,'Giro del Lario'!A:R,18,0),0)</f>
        <v>0</v>
      </c>
      <c r="M92" s="4">
        <f>IFERROR(VLOOKUP(A92,'Campo dei Fiori'!A:R,18,0),0)</f>
        <v>0</v>
      </c>
      <c r="N92" s="4">
        <f>IFERROR(VLOOKUP(A92,'Erba Ghisallo'!A:R,18,0),0)</f>
        <v>0</v>
      </c>
    </row>
    <row r="93" spans="1:14" x14ac:dyDescent="0.25">
      <c r="A93" s="8" t="s">
        <v>25</v>
      </c>
      <c r="B93" s="8" t="s">
        <v>66</v>
      </c>
      <c r="C93" s="62" t="s">
        <v>34</v>
      </c>
      <c r="G93" s="62" t="s">
        <v>97</v>
      </c>
      <c r="I93" s="79">
        <f>IFERROR(VLOOKUP(A93,'Nora Sciplino'!A$12:R$58,18,0),0)</f>
        <v>43.615384615384613</v>
      </c>
      <c r="J93" s="4">
        <f>IFERROR(VLOOKUP(A93,Castellotti!A:R,18,0),0)</f>
        <v>0</v>
      </c>
      <c r="K93" s="4">
        <f>IFERROR(VLOOKUP(A93,Solidarietà!A:R,18,0),0)</f>
        <v>0</v>
      </c>
      <c r="L93" s="4">
        <f>IFERROR(VLOOKUP(A93,'Giro del Lario'!A:R,18,0),0)</f>
        <v>0</v>
      </c>
      <c r="M93" s="4">
        <f>IFERROR(VLOOKUP(A93,'Campo dei Fiori'!A:R,18,0),0)</f>
        <v>0</v>
      </c>
      <c r="N93" s="4">
        <f>IFERROR(VLOOKUP(A93,'Erba Ghisallo'!A:R,18,0),0)</f>
        <v>0</v>
      </c>
    </row>
    <row r="94" spans="1:14" x14ac:dyDescent="0.25">
      <c r="A94" s="8" t="s">
        <v>391</v>
      </c>
      <c r="B94" s="8" t="s">
        <v>172</v>
      </c>
      <c r="C94" s="62" t="s">
        <v>119</v>
      </c>
      <c r="G94" s="62" t="s">
        <v>97</v>
      </c>
      <c r="I94" s="79">
        <f>IFERROR(VLOOKUP(A94,'Nora Sciplino'!A$12:R$58,18,0),0)</f>
        <v>0</v>
      </c>
      <c r="J94" s="4">
        <f>IFERROR(VLOOKUP(A94,Castellotti!A:R,18,0),0)</f>
        <v>0</v>
      </c>
      <c r="K94" s="4">
        <f>IFERROR(VLOOKUP(A94,Solidarietà!A:R,18,0),0)</f>
        <v>0</v>
      </c>
      <c r="L94" s="4">
        <f>IFERROR(VLOOKUP(A94,'Giro del Lario'!A:R,18,0),0)</f>
        <v>0</v>
      </c>
      <c r="M94" s="4">
        <f>IFERROR(VLOOKUP(A94,'Campo dei Fiori'!A:R,18,0),0)</f>
        <v>0</v>
      </c>
      <c r="N94" s="4">
        <f>IFERROR(VLOOKUP(A94,'Erba Ghisallo'!A:R,18,0),0)</f>
        <v>0</v>
      </c>
    </row>
    <row r="95" spans="1:14" x14ac:dyDescent="0.25">
      <c r="A95" s="8" t="s">
        <v>16</v>
      </c>
      <c r="B95" s="8" t="s">
        <v>98</v>
      </c>
      <c r="C95" s="62" t="s">
        <v>34</v>
      </c>
      <c r="D95" s="62" t="s">
        <v>71</v>
      </c>
      <c r="I95" s="79">
        <f>IFERROR(VLOOKUP(A95,'Nora Sciplino'!A$12:R$58,18,0),0)</f>
        <v>9.0153846153846153</v>
      </c>
      <c r="J95" s="4">
        <f>IFERROR(VLOOKUP(A95,Castellotti!A:R,18,0),0)</f>
        <v>0</v>
      </c>
      <c r="K95" s="4">
        <f>IFERROR(VLOOKUP(A95,Solidarietà!A:R,18,0),0)</f>
        <v>11.085714285714285</v>
      </c>
      <c r="L95" s="4">
        <f>IFERROR(VLOOKUP(A95,'Giro del Lario'!A:R,18,0),0)</f>
        <v>18.946666666666665</v>
      </c>
      <c r="M95" s="4">
        <f>IFERROR(VLOOKUP(A95,'Campo dei Fiori'!A:R,18,0),0)</f>
        <v>9.2738095238095255</v>
      </c>
      <c r="N95" s="4">
        <f>IFERROR(VLOOKUP(A95,'Erba Ghisallo'!A:R,18,0),0)</f>
        <v>7.5106382978723403</v>
      </c>
    </row>
    <row r="96" spans="1:14" x14ac:dyDescent="0.25">
      <c r="A96" s="8" t="s">
        <v>221</v>
      </c>
      <c r="B96" s="8" t="s">
        <v>66</v>
      </c>
      <c r="C96" s="62" t="s">
        <v>34</v>
      </c>
      <c r="I96" s="79">
        <f>IFERROR(VLOOKUP(A96,'Nora Sciplino'!A$12:R$58,18,0),0)</f>
        <v>0</v>
      </c>
      <c r="J96" s="4">
        <f>IFERROR(VLOOKUP(A96,Castellotti!A:R,18,0),0)</f>
        <v>56.123076923076923</v>
      </c>
      <c r="K96" s="4">
        <f>IFERROR(VLOOKUP(A96,Solidarietà!A:R,18,0),0)</f>
        <v>0</v>
      </c>
      <c r="L96" s="4">
        <f>IFERROR(VLOOKUP(A96,'Giro del Lario'!A:R,18,0),0)</f>
        <v>0</v>
      </c>
      <c r="M96" s="4">
        <f>IFERROR(VLOOKUP(A96,'Campo dei Fiori'!A:R,18,0),0)</f>
        <v>9.1071428571428577</v>
      </c>
      <c r="N96" s="4">
        <f>IFERROR(VLOOKUP(A96,'Erba Ghisallo'!A:R,18,0),0)</f>
        <v>8.7446808510638281</v>
      </c>
    </row>
    <row r="97" spans="1:14" x14ac:dyDescent="0.25">
      <c r="A97" s="8" t="s">
        <v>496</v>
      </c>
      <c r="B97" s="8" t="s">
        <v>175</v>
      </c>
      <c r="C97" s="62" t="s">
        <v>119</v>
      </c>
      <c r="I97" s="79">
        <f>IFERROR(VLOOKUP(A97,'Nora Sciplino'!A$12:R$58,18,0),0)</f>
        <v>0</v>
      </c>
      <c r="J97" s="4">
        <f>IFERROR(VLOOKUP(A97,Castellotti!A:R,18,0),0)</f>
        <v>0</v>
      </c>
      <c r="K97" s="4">
        <f>IFERROR(VLOOKUP(A97,Solidarietà!A:R,18,0),0)</f>
        <v>0</v>
      </c>
      <c r="L97" s="4">
        <f>IFERROR(VLOOKUP(A97,'Giro del Lario'!A:R,18,0),0)</f>
        <v>0</v>
      </c>
      <c r="M97" s="4">
        <f>IFERROR(VLOOKUP(A97,'Campo dei Fiori'!A:R,18,0),0)</f>
        <v>0</v>
      </c>
      <c r="N97" s="4" t="str">
        <f>IFERROR(VLOOKUP(A97,'Erba Ghisallo'!A:R,18,0),0)</f>
        <v>ND</v>
      </c>
    </row>
    <row r="98" spans="1:14" x14ac:dyDescent="0.25">
      <c r="A98" s="8" t="s">
        <v>392</v>
      </c>
      <c r="B98" s="8" t="s">
        <v>376</v>
      </c>
      <c r="C98" s="62" t="s">
        <v>119</v>
      </c>
      <c r="G98" s="62" t="s">
        <v>97</v>
      </c>
      <c r="I98" s="79">
        <f>IFERROR(VLOOKUP(A98,'Nora Sciplino'!A$12:R$58,18,0),0)</f>
        <v>0</v>
      </c>
      <c r="J98" s="4">
        <f>IFERROR(VLOOKUP(A98,Castellotti!A:R,18,0),0)</f>
        <v>0</v>
      </c>
      <c r="K98" s="4">
        <f>IFERROR(VLOOKUP(A98,Solidarietà!A:R,18,0),0)</f>
        <v>0</v>
      </c>
      <c r="L98" s="4">
        <f>IFERROR(VLOOKUP(A98,'Giro del Lario'!A:R,18,0),0)</f>
        <v>0</v>
      </c>
      <c r="M98" s="4">
        <f>IFERROR(VLOOKUP(A98,'Campo dei Fiori'!A:R,18,0),0)</f>
        <v>0</v>
      </c>
      <c r="N98" s="4">
        <f>IFERROR(VLOOKUP(A98,'Erba Ghisallo'!A:R,18,0),0)</f>
        <v>0</v>
      </c>
    </row>
    <row r="99" spans="1:14" x14ac:dyDescent="0.25">
      <c r="A99" s="8" t="s">
        <v>72</v>
      </c>
      <c r="B99" s="8" t="s">
        <v>66</v>
      </c>
      <c r="C99" s="62" t="s">
        <v>33</v>
      </c>
      <c r="E99" s="62" t="s">
        <v>71</v>
      </c>
      <c r="I99" s="79">
        <f>IFERROR(VLOOKUP(A99,'Nora Sciplino'!A$12:R$58,18,0),0)</f>
        <v>7.8923076923076927</v>
      </c>
      <c r="J99" s="4">
        <f>IFERROR(VLOOKUP(A99,Castellotti!A:R,18,0),0)</f>
        <v>0</v>
      </c>
      <c r="K99" s="4">
        <f>IFERROR(VLOOKUP(A99,Solidarietà!A:R,18,0),0)</f>
        <v>0</v>
      </c>
      <c r="L99" s="4">
        <f>IFERROR(VLOOKUP(A99,'Giro del Lario'!A:R,18,0),0)</f>
        <v>0</v>
      </c>
      <c r="M99" s="4">
        <f>IFERROR(VLOOKUP(A99,'Campo dei Fiori'!A:R,18,0),0)</f>
        <v>4.8214285714285721</v>
      </c>
      <c r="N99" s="4">
        <f>IFERROR(VLOOKUP(A99,'Erba Ghisallo'!A:R,18,0),0)</f>
        <v>0</v>
      </c>
    </row>
    <row r="100" spans="1:14" x14ac:dyDescent="0.25">
      <c r="A100" s="8" t="s">
        <v>449</v>
      </c>
      <c r="B100" s="8" t="s">
        <v>66</v>
      </c>
      <c r="C100" s="62" t="s">
        <v>34</v>
      </c>
      <c r="I100" s="79">
        <f>IFERROR(VLOOKUP(A100,'Nora Sciplino'!A$12:R$58,18,0),0)</f>
        <v>0</v>
      </c>
      <c r="J100" s="4">
        <f>IFERROR(VLOOKUP(A100,Castellotti!A:R,18,0),0)</f>
        <v>0</v>
      </c>
      <c r="K100" s="4">
        <f>IFERROR(VLOOKUP(A100,Solidarietà!A:R,18,0),0)</f>
        <v>0</v>
      </c>
      <c r="L100" s="4">
        <f>IFERROR(VLOOKUP(A100,'Giro del Lario'!A:R,18,0),0)</f>
        <v>0</v>
      </c>
      <c r="M100" s="4">
        <f>IFERROR(VLOOKUP(A100,'Campo dei Fiori'!A:R,18,0),0)</f>
        <v>15.511904761904763</v>
      </c>
      <c r="N100" s="4">
        <f>IFERROR(VLOOKUP(A100,'Erba Ghisallo'!A:R,18,0),0)</f>
        <v>0</v>
      </c>
    </row>
    <row r="101" spans="1:14" x14ac:dyDescent="0.25">
      <c r="A101" s="8" t="s">
        <v>450</v>
      </c>
      <c r="B101" s="8" t="s">
        <v>66</v>
      </c>
      <c r="C101" s="62" t="s">
        <v>119</v>
      </c>
      <c r="I101" s="79">
        <f>IFERROR(VLOOKUP(A101,'Nora Sciplino'!A$12:R$58,18,0),0)</f>
        <v>0</v>
      </c>
      <c r="J101" s="4">
        <f>IFERROR(VLOOKUP(A101,Castellotti!A:R,18,0),0)</f>
        <v>0</v>
      </c>
      <c r="K101" s="4">
        <f>IFERROR(VLOOKUP(A101,Solidarietà!A:R,18,0),0)</f>
        <v>0</v>
      </c>
      <c r="L101" s="4">
        <f>IFERROR(VLOOKUP(A101,'Giro del Lario'!A:R,18,0),0)</f>
        <v>0</v>
      </c>
      <c r="M101" s="4">
        <f>IFERROR(VLOOKUP(A101,'Campo dei Fiori'!A:R,18,0),0)</f>
        <v>16.61904761904762</v>
      </c>
      <c r="N101" s="4">
        <f>IFERROR(VLOOKUP(A101,'Erba Ghisallo'!A:R,18,0),0)</f>
        <v>0</v>
      </c>
    </row>
    <row r="102" spans="1:14" x14ac:dyDescent="0.25">
      <c r="A102" s="8" t="s">
        <v>196</v>
      </c>
      <c r="B102" s="8" t="s">
        <v>99</v>
      </c>
      <c r="C102" s="62" t="s">
        <v>119</v>
      </c>
      <c r="I102" s="79">
        <f>IFERROR(VLOOKUP(A102,'Nora Sciplino'!A$12:R$58,18,0),0)</f>
        <v>0</v>
      </c>
      <c r="J102" s="4">
        <f>IFERROR(VLOOKUP(A102,Castellotti!A:R,18,0),0)</f>
        <v>82.030769230769238</v>
      </c>
      <c r="K102" s="4">
        <f>IFERROR(VLOOKUP(A102,Solidarietà!A:R,18,0),0)</f>
        <v>0</v>
      </c>
      <c r="L102" s="4">
        <f>IFERROR(VLOOKUP(A102,'Giro del Lario'!A:R,18,0),0)</f>
        <v>0</v>
      </c>
      <c r="M102" s="4">
        <f>IFERROR(VLOOKUP(A102,'Campo dei Fiori'!A:R,18,0),0)</f>
        <v>0</v>
      </c>
      <c r="N102" s="4">
        <f>IFERROR(VLOOKUP(A102,'Erba Ghisallo'!A:R,18,0),0)</f>
        <v>0</v>
      </c>
    </row>
    <row r="103" spans="1:14" x14ac:dyDescent="0.25">
      <c r="A103" s="8" t="s">
        <v>206</v>
      </c>
      <c r="B103" s="8" t="s">
        <v>99</v>
      </c>
      <c r="C103" s="62" t="s">
        <v>119</v>
      </c>
      <c r="I103" s="79">
        <f>IFERROR(VLOOKUP(A103,'Nora Sciplino'!A$12:R$58,18,0),0)</f>
        <v>0</v>
      </c>
      <c r="J103" s="4">
        <f>IFERROR(VLOOKUP(A103,Castellotti!A:R,18,0),0)</f>
        <v>139.12307692307692</v>
      </c>
      <c r="K103" s="4">
        <f>IFERROR(VLOOKUP(A103,Solidarietà!A:R,18,0),0)</f>
        <v>0</v>
      </c>
      <c r="L103" s="4">
        <f>IFERROR(VLOOKUP(A103,'Giro del Lario'!A:R,18,0),0)</f>
        <v>0</v>
      </c>
      <c r="M103" s="4">
        <f>IFERROR(VLOOKUP(A103,'Campo dei Fiori'!A:R,18,0),0)</f>
        <v>0</v>
      </c>
      <c r="N103" s="4">
        <f>IFERROR(VLOOKUP(A103,'Erba Ghisallo'!A:R,18,0),0)</f>
        <v>0</v>
      </c>
    </row>
    <row r="104" spans="1:14" x14ac:dyDescent="0.25">
      <c r="A104" s="8" t="s">
        <v>12</v>
      </c>
      <c r="B104" s="8" t="s">
        <v>66</v>
      </c>
      <c r="C104" s="62" t="s">
        <v>33</v>
      </c>
      <c r="I104" s="79">
        <f>IFERROR(VLOOKUP(A104,'Nora Sciplino'!A$12:R$58,18,0),0)</f>
        <v>5.6461538461538465</v>
      </c>
      <c r="J104" s="4">
        <f>IFERROR(VLOOKUP(A104,Castellotti!A:R,18,0),0)</f>
        <v>5.1076923076923073</v>
      </c>
      <c r="K104" s="4">
        <f>IFERROR(VLOOKUP(A104,Solidarietà!A:R,18,0),0)</f>
        <v>4.6428571428571432</v>
      </c>
      <c r="L104" s="4">
        <f>IFERROR(VLOOKUP(A104,'Giro del Lario'!A:R,18,0),0)</f>
        <v>0</v>
      </c>
      <c r="M104" s="4">
        <f>IFERROR(VLOOKUP(A104,'Campo dei Fiori'!A:R,18,0),0)</f>
        <v>6.7976190476190474</v>
      </c>
      <c r="N104" s="4">
        <f>IFERROR(VLOOKUP(A104,'Erba Ghisallo'!A:R,18,0),0)</f>
        <v>14.638297872340424</v>
      </c>
    </row>
    <row r="105" spans="1:14" x14ac:dyDescent="0.25">
      <c r="A105" s="80" t="s">
        <v>570</v>
      </c>
      <c r="B105" s="8" t="s">
        <v>98</v>
      </c>
      <c r="C105" s="62" t="s">
        <v>119</v>
      </c>
      <c r="I105" s="79">
        <f>IFERROR(VLOOKUP(A105,'Nora Sciplino'!A$12:R$58,18,0),0)</f>
        <v>0</v>
      </c>
      <c r="J105" s="4">
        <f>IFERROR(VLOOKUP(A105,Castellotti!A:R,18,0),0)</f>
        <v>0</v>
      </c>
      <c r="K105" s="4">
        <f>IFERROR(VLOOKUP(A105,Solidarietà!A:R,18,0),0)</f>
        <v>0</v>
      </c>
      <c r="L105" s="4">
        <f>IFERROR(VLOOKUP(A105,'Giro del Lario'!A:R,18,0),0)</f>
        <v>0</v>
      </c>
      <c r="M105" s="4">
        <f>IFERROR(VLOOKUP(A105,'Campo dei Fiori'!A:R,18,0),0)</f>
        <v>0</v>
      </c>
      <c r="N105" s="4">
        <f>IFERROR(VLOOKUP(A105,'Erba Ghisallo'!A:R,18,0),0)</f>
        <v>0</v>
      </c>
    </row>
    <row r="106" spans="1:14" x14ac:dyDescent="0.25">
      <c r="A106" s="8" t="s">
        <v>497</v>
      </c>
      <c r="B106" s="8" t="s">
        <v>175</v>
      </c>
      <c r="C106" s="62" t="s">
        <v>119</v>
      </c>
      <c r="I106" s="79">
        <f>IFERROR(VLOOKUP(A106,'Nora Sciplino'!A$12:R$58,18,0),0)</f>
        <v>0</v>
      </c>
      <c r="J106" s="4">
        <f>IFERROR(VLOOKUP(A106,Castellotti!A:R,18,0),0)</f>
        <v>0</v>
      </c>
      <c r="K106" s="4">
        <f>IFERROR(VLOOKUP(A106,Solidarietà!A:R,18,0),0)</f>
        <v>0</v>
      </c>
      <c r="L106" s="4">
        <f>IFERROR(VLOOKUP(A106,'Giro del Lario'!A:R,18,0),0)</f>
        <v>0</v>
      </c>
      <c r="M106" s="4">
        <f>IFERROR(VLOOKUP(A106,'Campo dei Fiori'!A:R,18,0),0)</f>
        <v>0</v>
      </c>
      <c r="N106" s="4">
        <f>IFERROR(VLOOKUP(A106,'Erba Ghisallo'!A:R,18,0),0)</f>
        <v>43.48936170212766</v>
      </c>
    </row>
    <row r="107" spans="1:14" x14ac:dyDescent="0.25">
      <c r="A107" s="8" t="s">
        <v>75</v>
      </c>
      <c r="B107" s="8" t="s">
        <v>66</v>
      </c>
      <c r="C107" s="62" t="s">
        <v>34</v>
      </c>
      <c r="I107" s="79">
        <f>IFERROR(VLOOKUP(A107,'Nora Sciplino'!A$12:R$58,18,0),0)</f>
        <v>8.5846153846153843</v>
      </c>
      <c r="J107" s="4">
        <f>IFERROR(VLOOKUP(A107,Castellotti!A:R,18,0),0)</f>
        <v>14.415384615384616</v>
      </c>
      <c r="K107" s="4">
        <f>IFERROR(VLOOKUP(A107,Solidarietà!A:R,18,0),0)</f>
        <v>0</v>
      </c>
      <c r="L107" s="4">
        <f>IFERROR(VLOOKUP(A107,'Giro del Lario'!A:R,18,0),0)</f>
        <v>0</v>
      </c>
      <c r="M107" s="4">
        <f>IFERROR(VLOOKUP(A107,'Campo dei Fiori'!A:R,18,0),0)</f>
        <v>7.1428571428571432</v>
      </c>
      <c r="N107" s="4">
        <f>IFERROR(VLOOKUP(A107,'Erba Ghisallo'!A:R,18,0),0)</f>
        <v>0</v>
      </c>
    </row>
    <row r="108" spans="1:14" x14ac:dyDescent="0.25">
      <c r="A108" s="8" t="s">
        <v>223</v>
      </c>
      <c r="B108" s="8" t="s">
        <v>175</v>
      </c>
      <c r="C108" s="62" t="s">
        <v>34</v>
      </c>
      <c r="I108" s="79">
        <f>IFERROR(VLOOKUP(A108,'Nora Sciplino'!A$12:R$58,18,0),0)</f>
        <v>0</v>
      </c>
      <c r="J108" s="4">
        <f>IFERROR(VLOOKUP(A108,Castellotti!A:R,18,0),0)</f>
        <v>10.492307692307692</v>
      </c>
      <c r="K108" s="4">
        <f>IFERROR(VLOOKUP(A108,Solidarietà!A:R,18,0),0)</f>
        <v>0</v>
      </c>
      <c r="L108" s="4">
        <f>IFERROR(VLOOKUP(A108,'Giro del Lario'!A:R,18,0),0)</f>
        <v>0</v>
      </c>
      <c r="M108" s="4">
        <f>IFERROR(VLOOKUP(A108,'Campo dei Fiori'!A:R,18,0),0)</f>
        <v>0</v>
      </c>
      <c r="N108" s="4">
        <f>IFERROR(VLOOKUP(A108,'Erba Ghisallo'!A:R,18,0),0)</f>
        <v>0</v>
      </c>
    </row>
    <row r="109" spans="1:14" x14ac:dyDescent="0.25">
      <c r="A109" s="8" t="s">
        <v>484</v>
      </c>
      <c r="B109" s="8" t="s">
        <v>171</v>
      </c>
      <c r="C109" s="62" t="s">
        <v>119</v>
      </c>
      <c r="I109" s="79">
        <f>IFERROR(VLOOKUP(A109,'Nora Sciplino'!A$12:R$58,18,0),0)</f>
        <v>0</v>
      </c>
      <c r="J109" s="4">
        <f>IFERROR(VLOOKUP(A109,Castellotti!A:R,18,0),0)</f>
        <v>0</v>
      </c>
      <c r="K109" s="4">
        <f>IFERROR(VLOOKUP(A109,Solidarietà!A:R,18,0),0)</f>
        <v>0</v>
      </c>
      <c r="L109" s="4">
        <f>IFERROR(VLOOKUP(A109,'Giro del Lario'!A:R,18,0),0)</f>
        <v>0</v>
      </c>
      <c r="M109" s="4">
        <f>IFERROR(VLOOKUP(A109,'Campo dei Fiori'!A:R,18,0),0)</f>
        <v>0</v>
      </c>
      <c r="N109" s="4">
        <f>IFERROR(VLOOKUP(A109,'Erba Ghisallo'!A:R,18,0),0)</f>
        <v>78.829787234042556</v>
      </c>
    </row>
    <row r="110" spans="1:14" x14ac:dyDescent="0.25">
      <c r="A110" s="8" t="s">
        <v>492</v>
      </c>
      <c r="B110" s="8" t="s">
        <v>175</v>
      </c>
      <c r="C110" s="62" t="s">
        <v>119</v>
      </c>
      <c r="I110" s="79">
        <f>IFERROR(VLOOKUP(A110,'Nora Sciplino'!A$12:R$58,18,0),0)</f>
        <v>0</v>
      </c>
      <c r="J110" s="4">
        <f>IFERROR(VLOOKUP(A110,Castellotti!A:R,18,0),0)</f>
        <v>0</v>
      </c>
      <c r="K110" s="4">
        <f>IFERROR(VLOOKUP(A110,Solidarietà!A:R,18,0),0)</f>
        <v>0</v>
      </c>
      <c r="L110" s="4">
        <f>IFERROR(VLOOKUP(A110,'Giro del Lario'!A:R,18,0),0)</f>
        <v>0</v>
      </c>
      <c r="M110" s="4">
        <f>IFERROR(VLOOKUP(A110,'Campo dei Fiori'!A:R,18,0),0)</f>
        <v>0</v>
      </c>
      <c r="N110" s="4">
        <f>IFERROR(VLOOKUP(A110,'Erba Ghisallo'!A:R,18,0),0)</f>
        <v>136.87234042553195</v>
      </c>
    </row>
    <row r="111" spans="1:14" x14ac:dyDescent="0.25">
      <c r="A111" s="8" t="s">
        <v>14</v>
      </c>
      <c r="B111" s="8" t="s">
        <v>66</v>
      </c>
      <c r="C111" s="62" t="s">
        <v>33</v>
      </c>
      <c r="I111" s="79">
        <f>IFERROR(VLOOKUP(A111,'Nora Sciplino'!A$12:R$58,18,0),0)</f>
        <v>5.046153846153846</v>
      </c>
      <c r="J111" s="4">
        <f>IFERROR(VLOOKUP(A111,Castellotti!A:R,18,0),0)</f>
        <v>0</v>
      </c>
      <c r="K111" s="4">
        <f>IFERROR(VLOOKUP(A111,Solidarietà!A:R,18,0),0)</f>
        <v>0</v>
      </c>
      <c r="L111" s="4">
        <f>IFERROR(VLOOKUP(A111,'Giro del Lario'!A:R,18,0),0)</f>
        <v>0</v>
      </c>
      <c r="M111" s="4">
        <f>IFERROR(VLOOKUP(A111,'Campo dei Fiori'!A:R,18,0),0)</f>
        <v>0</v>
      </c>
      <c r="N111" s="4">
        <f>IFERROR(VLOOKUP(A111,'Erba Ghisallo'!A:R,18,0),0)</f>
        <v>0</v>
      </c>
    </row>
    <row r="112" spans="1:14" x14ac:dyDescent="0.25">
      <c r="A112" s="8" t="s">
        <v>79</v>
      </c>
      <c r="B112" s="8" t="s">
        <v>66</v>
      </c>
      <c r="C112" s="62" t="s">
        <v>34</v>
      </c>
      <c r="I112" s="79">
        <f>IFERROR(VLOOKUP(A112,'Nora Sciplino'!A$12:R$58,18,0),0)</f>
        <v>12.584615384615384</v>
      </c>
      <c r="J112" s="4">
        <f>IFERROR(VLOOKUP(A112,Castellotti!A:R,18,0),0)</f>
        <v>0</v>
      </c>
      <c r="K112" s="4">
        <f>IFERROR(VLOOKUP(A112,Solidarietà!A:R,18,0),0)</f>
        <v>0</v>
      </c>
      <c r="L112" s="4">
        <f>IFERROR(VLOOKUP(A112,'Giro del Lario'!A:R,18,0),0)</f>
        <v>0</v>
      </c>
      <c r="M112" s="4">
        <f>IFERROR(VLOOKUP(A112,'Campo dei Fiori'!A:R,18,0),0)</f>
        <v>0</v>
      </c>
      <c r="N112" s="4">
        <f>IFERROR(VLOOKUP(A112,'Erba Ghisallo'!A:R,18,0),0)</f>
        <v>0</v>
      </c>
    </row>
    <row r="113" spans="1:14" x14ac:dyDescent="0.25">
      <c r="A113" s="8" t="s">
        <v>15</v>
      </c>
      <c r="B113" s="9" t="s">
        <v>98</v>
      </c>
      <c r="C113" s="62" t="s">
        <v>33</v>
      </c>
      <c r="I113" s="79">
        <f>IFERROR(VLOOKUP(A113,'Nora Sciplino'!A$12:R$58,18,0),0)</f>
        <v>4.5999999999999996</v>
      </c>
      <c r="J113" s="4">
        <f>IFERROR(VLOOKUP(A113,Castellotti!A:R,18,0),0)</f>
        <v>0</v>
      </c>
      <c r="K113" s="4">
        <f>IFERROR(VLOOKUP(A113,Solidarietà!A:R,18,0),0)</f>
        <v>3.6142857142857143</v>
      </c>
      <c r="L113" s="4">
        <f>IFERROR(VLOOKUP(A113,'Giro del Lario'!A:R,18,0),0)</f>
        <v>4.32</v>
      </c>
      <c r="M113" s="4">
        <f>IFERROR(VLOOKUP(A113,'Campo dei Fiori'!A:R,18,0),0)</f>
        <v>0</v>
      </c>
      <c r="N113" s="4">
        <f>IFERROR(VLOOKUP(A113,'Erba Ghisallo'!A:R,18,0),0)</f>
        <v>4.5106382978723403</v>
      </c>
    </row>
    <row r="114" spans="1:14" x14ac:dyDescent="0.25">
      <c r="A114" s="8" t="s">
        <v>40</v>
      </c>
      <c r="B114" s="8" t="s">
        <v>66</v>
      </c>
      <c r="C114" s="62" t="s">
        <v>119</v>
      </c>
      <c r="I114" s="79">
        <f>IFERROR(VLOOKUP(A114,'Nora Sciplino'!A$12:R$58,18,0),0)</f>
        <v>21.753846153846155</v>
      </c>
      <c r="J114" s="4">
        <f>IFERROR(VLOOKUP(A114,Castellotti!A:R,18,0),0)</f>
        <v>0</v>
      </c>
      <c r="K114" s="4">
        <f>IFERROR(VLOOKUP(A114,Solidarietà!A:R,18,0),0)</f>
        <v>0</v>
      </c>
      <c r="L114" s="4">
        <f>IFERROR(VLOOKUP(A114,'Giro del Lario'!A:R,18,0),0)</f>
        <v>0</v>
      </c>
      <c r="M114" s="4">
        <f>IFERROR(VLOOKUP(A114,'Campo dei Fiori'!A:R,18,0),0)</f>
        <v>22.510388231725816</v>
      </c>
      <c r="N114" s="4">
        <f>IFERROR(VLOOKUP(A114,'Erba Ghisallo'!A:R,18,0),0)</f>
        <v>25.787234042553191</v>
      </c>
    </row>
    <row r="115" spans="1:14" x14ac:dyDescent="0.25">
      <c r="A115" s="8" t="s">
        <v>213</v>
      </c>
      <c r="B115" s="8" t="s">
        <v>68</v>
      </c>
      <c r="C115" s="62" t="s">
        <v>119</v>
      </c>
      <c r="G115" s="62" t="s">
        <v>97</v>
      </c>
      <c r="I115" s="79">
        <f>IFERROR(VLOOKUP(A115,'Nora Sciplino'!A$12:R$58,18,0),0)</f>
        <v>0</v>
      </c>
      <c r="J115" s="4">
        <f>IFERROR(VLOOKUP(A115,Castellotti!A:R,18,0),0)</f>
        <v>162.78461538461539</v>
      </c>
      <c r="K115" s="4">
        <f>IFERROR(VLOOKUP(A115,Solidarietà!A:R,18,0),0)</f>
        <v>0</v>
      </c>
      <c r="L115" s="4">
        <f>IFERROR(VLOOKUP(A115,'Giro del Lario'!A:R,18,0),0)</f>
        <v>93.906666666666652</v>
      </c>
      <c r="M115" s="4">
        <f>IFERROR(VLOOKUP(A115,'Campo dei Fiori'!A:R,18,0),0)</f>
        <v>0</v>
      </c>
      <c r="N115" s="4">
        <f>IFERROR(VLOOKUP(A115,'Erba Ghisallo'!A:R,18,0),0)</f>
        <v>63.042553191489361</v>
      </c>
    </row>
    <row r="116" spans="1:14" x14ac:dyDescent="0.25">
      <c r="A116" s="8" t="s">
        <v>393</v>
      </c>
      <c r="B116" s="8" t="s">
        <v>376</v>
      </c>
      <c r="C116" s="62" t="s">
        <v>119</v>
      </c>
      <c r="G116" s="62" t="s">
        <v>97</v>
      </c>
      <c r="I116" s="79">
        <f>IFERROR(VLOOKUP(A116,'Nora Sciplino'!A$12:R$58,18,0),0)</f>
        <v>0</v>
      </c>
      <c r="J116" s="4">
        <f>IFERROR(VLOOKUP(A116,Castellotti!A:R,18,0),0)</f>
        <v>0</v>
      </c>
      <c r="K116" s="4">
        <f>IFERROR(VLOOKUP(A116,Solidarietà!A:R,18,0),0)</f>
        <v>0</v>
      </c>
      <c r="L116" s="4">
        <f>IFERROR(VLOOKUP(A116,'Giro del Lario'!A:R,18,0),0)</f>
        <v>0</v>
      </c>
      <c r="M116" s="4">
        <f>IFERROR(VLOOKUP(A116,'Campo dei Fiori'!A:R,18,0),0)</f>
        <v>0</v>
      </c>
      <c r="N116" s="4">
        <f>IFERROR(VLOOKUP(A116,'Erba Ghisallo'!A:R,18,0),0)</f>
        <v>0</v>
      </c>
    </row>
    <row r="117" spans="1:14" x14ac:dyDescent="0.25">
      <c r="A117" s="8" t="s">
        <v>495</v>
      </c>
      <c r="B117" s="8" t="s">
        <v>175</v>
      </c>
      <c r="C117" s="62" t="s">
        <v>119</v>
      </c>
      <c r="I117" s="79">
        <f>IFERROR(VLOOKUP(A117,'Nora Sciplino'!A$12:R$58,18,0),0)</f>
        <v>0</v>
      </c>
      <c r="J117" s="4">
        <f>IFERROR(VLOOKUP(A117,Castellotti!A:R,18,0),0)</f>
        <v>0</v>
      </c>
      <c r="K117" s="4">
        <f>IFERROR(VLOOKUP(A117,Solidarietà!A:R,18,0),0)</f>
        <v>0</v>
      </c>
      <c r="L117" s="4">
        <f>IFERROR(VLOOKUP(A117,'Giro del Lario'!A:R,18,0),0)</f>
        <v>0</v>
      </c>
      <c r="M117" s="4">
        <f>IFERROR(VLOOKUP(A117,'Campo dei Fiori'!A:R,18,0),0)</f>
        <v>0</v>
      </c>
      <c r="N117" s="4" t="str">
        <f>IFERROR(VLOOKUP(A117,'Erba Ghisallo'!A:R,18,0),0)</f>
        <v>ND</v>
      </c>
    </row>
    <row r="118" spans="1:14" x14ac:dyDescent="0.25">
      <c r="A118" s="8" t="s">
        <v>351</v>
      </c>
      <c r="B118" s="8" t="s">
        <v>172</v>
      </c>
      <c r="C118" s="62" t="s">
        <v>119</v>
      </c>
      <c r="G118" s="62" t="s">
        <v>97</v>
      </c>
      <c r="I118" s="79">
        <f>IFERROR(VLOOKUP(A118,'Nora Sciplino'!A$12:R$58,18,0),0)</f>
        <v>0</v>
      </c>
      <c r="J118" s="4">
        <f>IFERROR(VLOOKUP(A118,Castellotti!A:R,18,0),0)</f>
        <v>0</v>
      </c>
      <c r="K118" s="4">
        <f>IFERROR(VLOOKUP(A118,Solidarietà!A:R,18,0),0)</f>
        <v>0</v>
      </c>
      <c r="L118" s="4">
        <f>IFERROR(VLOOKUP(A118,'Giro del Lario'!A:R,18,0),0)</f>
        <v>91.04</v>
      </c>
      <c r="M118" s="4">
        <f>IFERROR(VLOOKUP(A118,'Campo dei Fiori'!A:R,18,0),0)</f>
        <v>0</v>
      </c>
      <c r="N118" s="4">
        <f>IFERROR(VLOOKUP(A118,'Erba Ghisallo'!A:R,18,0),0)</f>
        <v>0</v>
      </c>
    </row>
    <row r="119" spans="1:14" x14ac:dyDescent="0.25">
      <c r="A119" s="8" t="s">
        <v>204</v>
      </c>
      <c r="B119" s="8" t="s">
        <v>99</v>
      </c>
      <c r="C119" s="62" t="s">
        <v>119</v>
      </c>
      <c r="I119" s="79">
        <f>IFERROR(VLOOKUP(A119,'Nora Sciplino'!A$12:R$58,18,0),0)</f>
        <v>0</v>
      </c>
      <c r="J119" s="4">
        <f>IFERROR(VLOOKUP(A119,Castellotti!A:R,18,0),0)</f>
        <v>35.200000000000003</v>
      </c>
      <c r="K119" s="4">
        <f>IFERROR(VLOOKUP(A119,Solidarietà!A:R,18,0),0)</f>
        <v>0</v>
      </c>
      <c r="L119" s="4">
        <f>IFERROR(VLOOKUP(A119,'Giro del Lario'!A:R,18,0),0)</f>
        <v>0</v>
      </c>
      <c r="M119" s="4">
        <f>IFERROR(VLOOKUP(A119,'Campo dei Fiori'!A:R,18,0),0)</f>
        <v>0</v>
      </c>
      <c r="N119" s="4">
        <f>IFERROR(VLOOKUP(A119,'Erba Ghisallo'!A:R,18,0),0)</f>
        <v>0</v>
      </c>
    </row>
    <row r="120" spans="1:14" x14ac:dyDescent="0.25">
      <c r="A120" s="8" t="s">
        <v>228</v>
      </c>
      <c r="B120" s="8" t="s">
        <v>100</v>
      </c>
      <c r="C120" s="62" t="s">
        <v>119</v>
      </c>
      <c r="I120" s="79">
        <f>IFERROR(VLOOKUP(A120,'Nora Sciplino'!A$12:R$58,18,0),0)</f>
        <v>0</v>
      </c>
      <c r="J120" s="4">
        <f>IFERROR(VLOOKUP(A120,Castellotti!A:R,18,0),0)</f>
        <v>41.661538461538463</v>
      </c>
      <c r="K120" s="4">
        <f>IFERROR(VLOOKUP(A120,Solidarietà!A:R,18,0),0)</f>
        <v>0</v>
      </c>
      <c r="L120" s="4">
        <f>IFERROR(VLOOKUP(A120,'Giro del Lario'!A:R,18,0),0)</f>
        <v>0</v>
      </c>
      <c r="M120" s="4">
        <f>IFERROR(VLOOKUP(A120,'Campo dei Fiori'!A:R,18,0),0)</f>
        <v>0</v>
      </c>
      <c r="N120" s="4">
        <f>IFERROR(VLOOKUP(A120,'Erba Ghisallo'!A:R,18,0),0)</f>
        <v>0</v>
      </c>
    </row>
    <row r="121" spans="1:14" x14ac:dyDescent="0.25">
      <c r="A121" s="8" t="s">
        <v>346</v>
      </c>
      <c r="B121" s="8" t="s">
        <v>172</v>
      </c>
      <c r="C121" s="62" t="s">
        <v>33</v>
      </c>
      <c r="I121" s="79">
        <f>IFERROR(VLOOKUP(A121,'Nora Sciplino'!A$12:R$58,18,0),0)</f>
        <v>0</v>
      </c>
      <c r="J121" s="4">
        <f>IFERROR(VLOOKUP(A121,Castellotti!A:R,18,0),0)</f>
        <v>0</v>
      </c>
      <c r="K121" s="4">
        <f>IFERROR(VLOOKUP(A121,Solidarietà!A:R,18,0),0)</f>
        <v>0</v>
      </c>
      <c r="L121" s="4">
        <f>IFERROR(VLOOKUP(A121,'Giro del Lario'!A:R,18,0),0)</f>
        <v>5.2133333333333329</v>
      </c>
      <c r="M121" s="4">
        <f>IFERROR(VLOOKUP(A121,'Campo dei Fiori'!A:R,18,0),0)</f>
        <v>0</v>
      </c>
      <c r="N121" s="4">
        <f>IFERROR(VLOOKUP(A121,'Erba Ghisallo'!A:R,18,0),0)</f>
        <v>0</v>
      </c>
    </row>
    <row r="122" spans="1:14" x14ac:dyDescent="0.25">
      <c r="A122" s="8" t="s">
        <v>84</v>
      </c>
      <c r="B122" s="8" t="s">
        <v>100</v>
      </c>
      <c r="C122" s="62" t="s">
        <v>119</v>
      </c>
      <c r="D122" s="62" t="s">
        <v>71</v>
      </c>
      <c r="I122" s="79">
        <f>IFERROR(VLOOKUP(A122,'Nora Sciplino'!A$12:R$58,18,0),0)</f>
        <v>36.446153846153848</v>
      </c>
      <c r="J122" s="4">
        <f>IFERROR(VLOOKUP(A122,Castellotti!A:R,18,0),0)</f>
        <v>16.138461538461538</v>
      </c>
      <c r="K122" s="4">
        <f>IFERROR(VLOOKUP(A122,Solidarietà!A:R,18,0),0)</f>
        <v>0</v>
      </c>
      <c r="L122" s="4">
        <f>IFERROR(VLOOKUP(A122,'Giro del Lario'!A:R,18,0),0)</f>
        <v>0</v>
      </c>
      <c r="M122" s="4">
        <f>IFERROR(VLOOKUP(A122,'Campo dei Fiori'!A:R,18,0),0)</f>
        <v>0</v>
      </c>
      <c r="N122" s="4">
        <f>IFERROR(VLOOKUP(A122,'Erba Ghisallo'!A:R,18,0),0)</f>
        <v>0</v>
      </c>
    </row>
    <row r="123" spans="1:14" x14ac:dyDescent="0.25">
      <c r="A123" s="8" t="s">
        <v>201</v>
      </c>
      <c r="B123" s="8" t="s">
        <v>99</v>
      </c>
      <c r="C123" s="62" t="s">
        <v>119</v>
      </c>
      <c r="I123" s="79">
        <f>IFERROR(VLOOKUP(A123,'Nora Sciplino'!A$12:R$58,18,0),0)</f>
        <v>0</v>
      </c>
      <c r="J123" s="4">
        <f>IFERROR(VLOOKUP(A123,Castellotti!A:R,18,0),0)</f>
        <v>47.584615384615383</v>
      </c>
      <c r="K123" s="4">
        <f>IFERROR(VLOOKUP(A123,Solidarietà!A:R,18,0),0)</f>
        <v>0</v>
      </c>
      <c r="L123" s="4">
        <f>IFERROR(VLOOKUP(A123,'Giro del Lario'!A:R,18,0),0)</f>
        <v>0</v>
      </c>
      <c r="M123" s="4">
        <f>IFERROR(VLOOKUP(A123,'Campo dei Fiori'!A:R,18,0),0)</f>
        <v>0</v>
      </c>
      <c r="N123" s="4">
        <f>IFERROR(VLOOKUP(A123,'Erba Ghisallo'!A:R,18,0),0)</f>
        <v>0</v>
      </c>
    </row>
    <row r="124" spans="1:14" x14ac:dyDescent="0.25">
      <c r="A124" s="80" t="s">
        <v>572</v>
      </c>
      <c r="B124" s="8" t="s">
        <v>98</v>
      </c>
      <c r="C124" s="62" t="s">
        <v>119</v>
      </c>
      <c r="I124" s="79">
        <f>IFERROR(VLOOKUP(A124,'Nora Sciplino'!A$12:R$58,18,0),0)</f>
        <v>0</v>
      </c>
    </row>
    <row r="125" spans="1:14" x14ac:dyDescent="0.25">
      <c r="A125" s="8" t="s">
        <v>307</v>
      </c>
      <c r="B125" s="8" t="s">
        <v>98</v>
      </c>
      <c r="C125" s="62" t="s">
        <v>119</v>
      </c>
      <c r="I125" s="79">
        <f>IFERROR(VLOOKUP(A125,'Nora Sciplino'!A$12:R$58,18,0),0)</f>
        <v>0</v>
      </c>
      <c r="J125" s="4">
        <f>IFERROR(VLOOKUP(A125,Castellotti!A:R,18,0),0)</f>
        <v>0</v>
      </c>
      <c r="K125" s="4">
        <f>IFERROR(VLOOKUP(A125,Solidarietà!A:R,18,0),0)</f>
        <v>79.785714285714292</v>
      </c>
      <c r="L125" s="4">
        <f>IFERROR(VLOOKUP(A125,'Giro del Lario'!A:R,18,0),0)</f>
        <v>0</v>
      </c>
      <c r="M125" s="4">
        <f>IFERROR(VLOOKUP(A125,'Campo dei Fiori'!A:R,18,0),0)</f>
        <v>0</v>
      </c>
      <c r="N125" s="4">
        <f>IFERROR(VLOOKUP(A125,'Erba Ghisallo'!A:R,18,0),0)</f>
        <v>56.255319148936174</v>
      </c>
    </row>
    <row r="126" spans="1:14" x14ac:dyDescent="0.25">
      <c r="A126" s="8" t="s">
        <v>308</v>
      </c>
      <c r="B126" s="8" t="s">
        <v>98</v>
      </c>
      <c r="C126" s="62" t="s">
        <v>119</v>
      </c>
      <c r="I126" s="79">
        <f>IFERROR(VLOOKUP(A126,'Nora Sciplino'!A$12:R$58,18,0),0)</f>
        <v>0</v>
      </c>
      <c r="J126" s="4">
        <f>IFERROR(VLOOKUP(A126,Castellotti!A:R,18,0),0)</f>
        <v>0</v>
      </c>
      <c r="K126" s="4">
        <f>IFERROR(VLOOKUP(A126,Solidarietà!A:R,18,0),0)</f>
        <v>77.957142857142856</v>
      </c>
      <c r="L126" s="4">
        <f>IFERROR(VLOOKUP(A126,'Giro del Lario'!A:R,18,0),0)</f>
        <v>0</v>
      </c>
      <c r="M126" s="4">
        <f>IFERROR(VLOOKUP(A126,'Campo dei Fiori'!A:R,18,0),0)</f>
        <v>0</v>
      </c>
      <c r="N126" s="4">
        <f>IFERROR(VLOOKUP(A126,'Erba Ghisallo'!A:R,18,0),0)</f>
        <v>0</v>
      </c>
    </row>
    <row r="127" spans="1:14" x14ac:dyDescent="0.25">
      <c r="A127" s="80" t="s">
        <v>575</v>
      </c>
      <c r="B127" s="8" t="s">
        <v>98</v>
      </c>
      <c r="C127" s="62" t="s">
        <v>119</v>
      </c>
      <c r="I127" s="79">
        <f>IFERROR(VLOOKUP(A127,'Nora Sciplino'!A$12:R$58,18,0),0)</f>
        <v>0</v>
      </c>
      <c r="J127" s="4">
        <f>IFERROR(VLOOKUP(A127,Castellotti!A:R,18,0),0)</f>
        <v>0</v>
      </c>
      <c r="K127" s="4">
        <f>IFERROR(VLOOKUP(A127,Solidarietà!A:R,18,0),0)</f>
        <v>0</v>
      </c>
      <c r="L127" s="4">
        <f>IFERROR(VLOOKUP(A127,'Giro del Lario'!A:R,18,0),0)</f>
        <v>0</v>
      </c>
      <c r="M127" s="4">
        <f>IFERROR(VLOOKUP(A127,'Campo dei Fiori'!A:R,18,0),0)</f>
        <v>0</v>
      </c>
      <c r="N127" s="4">
        <f>IFERROR(VLOOKUP(A127,'Erba Ghisallo'!A:R,18,0),0)</f>
        <v>0</v>
      </c>
    </row>
    <row r="128" spans="1:14" x14ac:dyDescent="0.25">
      <c r="A128" s="8" t="s">
        <v>191</v>
      </c>
      <c r="B128" s="8" t="s">
        <v>99</v>
      </c>
      <c r="C128" s="62" t="s">
        <v>119</v>
      </c>
      <c r="I128" s="79">
        <f>IFERROR(VLOOKUP(A128,'Nora Sciplino'!A$12:R$58,18,0),0)</f>
        <v>0</v>
      </c>
      <c r="J128" s="4">
        <f>IFERROR(VLOOKUP(A128,Castellotti!A:R,18,0),0)</f>
        <v>36.4</v>
      </c>
      <c r="K128" s="4">
        <f>IFERROR(VLOOKUP(A128,Solidarietà!A:R,18,0),0)</f>
        <v>36.357142857142854</v>
      </c>
      <c r="L128" s="4">
        <f>IFERROR(VLOOKUP(A128,'Giro del Lario'!A:R,18,0),0)</f>
        <v>0</v>
      </c>
      <c r="M128" s="4">
        <f>IFERROR(VLOOKUP(A128,'Campo dei Fiori'!A:R,18,0),0)</f>
        <v>0</v>
      </c>
      <c r="N128" s="4">
        <f>IFERROR(VLOOKUP(A128,'Erba Ghisallo'!A:R,18,0),0)</f>
        <v>0</v>
      </c>
    </row>
    <row r="129" spans="1:14" x14ac:dyDescent="0.25">
      <c r="A129" s="8" t="s">
        <v>309</v>
      </c>
      <c r="B129" s="105" t="s">
        <v>175</v>
      </c>
      <c r="C129" s="62" t="s">
        <v>33</v>
      </c>
      <c r="I129" s="79">
        <f>IFERROR(VLOOKUP(A129,'Nora Sciplino'!A$12:R$58,18,0),0)</f>
        <v>0</v>
      </c>
      <c r="J129" s="4">
        <f>IFERROR(VLOOKUP(A129,Castellotti!A:R,18,0),0)</f>
        <v>0</v>
      </c>
      <c r="K129" s="4">
        <f>IFERROR(VLOOKUP(A129,Solidarietà!A:R,18,0),0)</f>
        <v>6.7428571428571429</v>
      </c>
      <c r="L129" s="4">
        <f>IFERROR(VLOOKUP(A129,'Giro del Lario'!A:R,18,0),0)</f>
        <v>0</v>
      </c>
      <c r="M129" s="4">
        <f>IFERROR(VLOOKUP(A129,'Campo dei Fiori'!A:R,18,0),0)</f>
        <v>0</v>
      </c>
      <c r="N129" s="4">
        <f>IFERROR(VLOOKUP(A129,'Erba Ghisallo'!A:R,18,0),0)</f>
        <v>6.5319148936170199</v>
      </c>
    </row>
    <row r="130" spans="1:14" x14ac:dyDescent="0.25">
      <c r="A130" s="8" t="s">
        <v>501</v>
      </c>
      <c r="B130" s="8" t="s">
        <v>175</v>
      </c>
      <c r="C130" s="62" t="s">
        <v>119</v>
      </c>
      <c r="I130" s="79">
        <f>IFERROR(VLOOKUP(A130,'Nora Sciplino'!A$12:R$58,18,0),0)</f>
        <v>0</v>
      </c>
      <c r="J130" s="4">
        <f>IFERROR(VLOOKUP(A130,Castellotti!A:R,18,0),0)</f>
        <v>0</v>
      </c>
      <c r="K130" s="4">
        <f>IFERROR(VLOOKUP(A130,Solidarietà!A:R,18,0),0)</f>
        <v>0</v>
      </c>
      <c r="L130" s="4">
        <f>IFERROR(VLOOKUP(A130,'Giro del Lario'!A:R,18,0),0)</f>
        <v>0</v>
      </c>
      <c r="M130" s="4">
        <f>IFERROR(VLOOKUP(A130,'Campo dei Fiori'!A:R,18,0),0)</f>
        <v>0</v>
      </c>
      <c r="N130" s="4">
        <f>IFERROR(VLOOKUP(A130,'Erba Ghisallo'!A:R,18,0),0)</f>
        <v>152.97872340425531</v>
      </c>
    </row>
    <row r="131" spans="1:14" x14ac:dyDescent="0.25">
      <c r="A131" s="8" t="s">
        <v>556</v>
      </c>
      <c r="B131" s="8" t="s">
        <v>376</v>
      </c>
      <c r="C131" s="62" t="s">
        <v>119</v>
      </c>
      <c r="I131" s="79">
        <f>IFERROR(VLOOKUP(A131,'Nora Sciplino'!A$12:R$58,18,0),0)</f>
        <v>36.876923076923077</v>
      </c>
      <c r="J131" s="4">
        <f>IFERROR(VLOOKUP(A131,Castellotti!A:R,18,0),0)</f>
        <v>0</v>
      </c>
      <c r="K131" s="4">
        <f>IFERROR(VLOOKUP(A131,Solidarietà!A:R,18,0),0)</f>
        <v>0</v>
      </c>
      <c r="L131" s="4">
        <f>IFERROR(VLOOKUP(A131,'Giro del Lario'!A:R,18,0),0)</f>
        <v>0</v>
      </c>
      <c r="M131" s="4">
        <f>IFERROR(VLOOKUP(A131,'Campo dei Fiori'!A:R,18,0),0)</f>
        <v>0</v>
      </c>
      <c r="N131" s="4">
        <f>IFERROR(VLOOKUP(A131,'Erba Ghisallo'!A:R,18,0),0)</f>
        <v>0</v>
      </c>
    </row>
    <row r="132" spans="1:14" x14ac:dyDescent="0.25">
      <c r="A132" s="8" t="s">
        <v>28</v>
      </c>
      <c r="B132" s="8" t="s">
        <v>66</v>
      </c>
      <c r="C132" s="62" t="s">
        <v>34</v>
      </c>
      <c r="I132" s="79">
        <f>IFERROR(VLOOKUP(A132,'Nora Sciplino'!A$12:R$58,18,0),0)</f>
        <v>9.2307692307692299</v>
      </c>
      <c r="J132" s="4">
        <f>IFERROR(VLOOKUP(A132,Castellotti!A:R,18,0),0)</f>
        <v>0</v>
      </c>
      <c r="K132" s="4">
        <f>IFERROR(VLOOKUP(A132,Solidarietà!A:R,18,0),0)</f>
        <v>0</v>
      </c>
      <c r="L132" s="4">
        <f>IFERROR(VLOOKUP(A132,'Giro del Lario'!A:R,18,0),0)</f>
        <v>0</v>
      </c>
      <c r="M132" s="4">
        <f>IFERROR(VLOOKUP(A132,'Campo dei Fiori'!A:R,18,0),0)</f>
        <v>0</v>
      </c>
      <c r="N132" s="4">
        <f>IFERROR(VLOOKUP(A132,'Erba Ghisallo'!A:R,18,0),0)</f>
        <v>8.2553191489361701</v>
      </c>
    </row>
    <row r="133" spans="1:14" x14ac:dyDescent="0.25">
      <c r="A133" s="8" t="s">
        <v>69</v>
      </c>
      <c r="B133" s="8" t="s">
        <v>99</v>
      </c>
      <c r="C133" s="62" t="s">
        <v>33</v>
      </c>
      <c r="I133" s="79">
        <f>IFERROR(VLOOKUP(A133,'Nora Sciplino'!A$12:R$58,18,0),0)</f>
        <v>4.9384615384615387</v>
      </c>
      <c r="J133" s="4">
        <f>IFERROR(VLOOKUP(A133,Castellotti!A:R,18,0),0)</f>
        <v>5.7538461538461538</v>
      </c>
      <c r="K133" s="4">
        <f>IFERROR(VLOOKUP(A133,Solidarietà!A:R,18,0),0)</f>
        <v>5.4142857142857146</v>
      </c>
      <c r="L133" s="4">
        <f>IFERROR(VLOOKUP(A133,'Giro del Lario'!A:R,18,0),0)</f>
        <v>0</v>
      </c>
      <c r="M133" s="4">
        <f>IFERROR(VLOOKUP(A133,'Campo dei Fiori'!A:R,18,0),0)</f>
        <v>0</v>
      </c>
      <c r="N133" s="4">
        <f>IFERROR(VLOOKUP(A133,'Erba Ghisallo'!A:R,18,0),0)</f>
        <v>4.0638297872340425</v>
      </c>
    </row>
    <row r="134" spans="1:14" x14ac:dyDescent="0.25">
      <c r="A134" s="8" t="s">
        <v>190</v>
      </c>
      <c r="B134" s="8" t="s">
        <v>99</v>
      </c>
      <c r="C134" s="62" t="s">
        <v>33</v>
      </c>
      <c r="E134" s="62" t="s">
        <v>71</v>
      </c>
      <c r="I134" s="79">
        <f>IFERROR(VLOOKUP(A134,'Nora Sciplino'!A$12:R$58,18,0),0)</f>
        <v>0</v>
      </c>
      <c r="J134" s="4">
        <f>IFERROR(VLOOKUP(A134,Castellotti!A:R,18,0),0)</f>
        <v>3.8923076923076922</v>
      </c>
      <c r="K134" s="4">
        <f>IFERROR(VLOOKUP(A134,Solidarietà!A:R,18,0),0)</f>
        <v>0</v>
      </c>
      <c r="L134" s="4">
        <f>IFERROR(VLOOKUP(A134,'Giro del Lario'!A:R,18,0),0)</f>
        <v>3.3066666666666671</v>
      </c>
      <c r="M134" s="4">
        <f>IFERROR(VLOOKUP(A134,'Campo dei Fiori'!A:R,18,0),0)</f>
        <v>0</v>
      </c>
      <c r="N134" s="4">
        <f>IFERROR(VLOOKUP(A134,'Erba Ghisallo'!A:R,18,0),0)</f>
        <v>0</v>
      </c>
    </row>
    <row r="135" spans="1:14" x14ac:dyDescent="0.25">
      <c r="A135" s="8" t="s">
        <v>493</v>
      </c>
      <c r="B135" s="8" t="s">
        <v>175</v>
      </c>
      <c r="C135" s="62" t="s">
        <v>119</v>
      </c>
      <c r="I135" s="79">
        <f>IFERROR(VLOOKUP(A135,'Nora Sciplino'!A$12:R$58,18,0),0)</f>
        <v>0</v>
      </c>
      <c r="J135" s="4">
        <f>IFERROR(VLOOKUP(A135,Castellotti!A:R,18,0),0)</f>
        <v>0</v>
      </c>
      <c r="K135" s="4">
        <f>IFERROR(VLOOKUP(A135,Solidarietà!A:R,18,0),0)</f>
        <v>0</v>
      </c>
      <c r="L135" s="4">
        <f>IFERROR(VLOOKUP(A135,'Giro del Lario'!A:R,18,0),0)</f>
        <v>0</v>
      </c>
      <c r="M135" s="4">
        <f>IFERROR(VLOOKUP(A135,'Campo dei Fiori'!A:R,18,0),0)</f>
        <v>0</v>
      </c>
      <c r="N135" s="4">
        <f>IFERROR(VLOOKUP(A135,'Erba Ghisallo'!A:R,18,0),0)</f>
        <v>121.42553191489364</v>
      </c>
    </row>
    <row r="136" spans="1:14" x14ac:dyDescent="0.25">
      <c r="A136" s="8" t="s">
        <v>85</v>
      </c>
      <c r="B136" s="8" t="s">
        <v>66</v>
      </c>
      <c r="C136" s="62" t="s">
        <v>119</v>
      </c>
      <c r="D136" s="62" t="s">
        <v>71</v>
      </c>
      <c r="G136" s="62" t="s">
        <v>97</v>
      </c>
      <c r="I136" s="79">
        <f>IFERROR(VLOOKUP(A136,'Nora Sciplino'!A$12:R$58,18,0),0)</f>
        <v>47.446153846153848</v>
      </c>
      <c r="J136" s="4">
        <f>IFERROR(VLOOKUP(A136,Castellotti!A:R,18,0),0)</f>
        <v>0</v>
      </c>
      <c r="K136" s="4">
        <f>IFERROR(VLOOKUP(A136,Solidarietà!A:R,18,0),0)</f>
        <v>0</v>
      </c>
      <c r="L136" s="4">
        <f>IFERROR(VLOOKUP(A136,'Giro del Lario'!A:R,18,0),0)</f>
        <v>0</v>
      </c>
      <c r="M136" s="4">
        <f>IFERROR(VLOOKUP(A136,'Campo dei Fiori'!A:R,18,0),0)</f>
        <v>0</v>
      </c>
      <c r="N136" s="4">
        <f>IFERROR(VLOOKUP(A136,'Erba Ghisallo'!A:R,18,0),0)</f>
        <v>0</v>
      </c>
    </row>
    <row r="137" spans="1:14" x14ac:dyDescent="0.25">
      <c r="A137" s="8" t="s">
        <v>87</v>
      </c>
      <c r="B137" s="8" t="s">
        <v>99</v>
      </c>
      <c r="C137" s="62" t="s">
        <v>119</v>
      </c>
      <c r="I137" s="79">
        <f>IFERROR(VLOOKUP(A137,'Nora Sciplino'!A$12:R$58,18,0),0)</f>
        <v>86</v>
      </c>
      <c r="J137" s="4">
        <f>IFERROR(VLOOKUP(A137,Castellotti!A:R,18,0),0)</f>
        <v>24.46153846153846</v>
      </c>
      <c r="K137" s="4">
        <f>IFERROR(VLOOKUP(A137,Solidarietà!A:R,18,0),0)</f>
        <v>25.642857142857142</v>
      </c>
      <c r="L137" s="4">
        <f>IFERROR(VLOOKUP(A137,'Giro del Lario'!A:R,18,0),0)</f>
        <v>0</v>
      </c>
      <c r="M137" s="4">
        <f>IFERROR(VLOOKUP(A137,'Campo dei Fiori'!A:R,18,0),0)</f>
        <v>0</v>
      </c>
      <c r="N137" s="4">
        <f>IFERROR(VLOOKUP(A137,'Erba Ghisallo'!A:R,18,0),0)</f>
        <v>28.808510638297872</v>
      </c>
    </row>
    <row r="138" spans="1:14" x14ac:dyDescent="0.25">
      <c r="A138" s="8" t="s">
        <v>394</v>
      </c>
      <c r="B138" s="8" t="s">
        <v>376</v>
      </c>
      <c r="C138" s="62" t="s">
        <v>119</v>
      </c>
      <c r="G138" s="62" t="s">
        <v>97</v>
      </c>
      <c r="I138" s="79">
        <f>IFERROR(VLOOKUP(A138,'Nora Sciplino'!A$12:R$58,18,0),0)</f>
        <v>0</v>
      </c>
      <c r="J138" s="4">
        <f>IFERROR(VLOOKUP(A138,Castellotti!A:R,18,0),0)</f>
        <v>0</v>
      </c>
      <c r="K138" s="4">
        <f>IFERROR(VLOOKUP(A138,Solidarietà!A:R,18,0),0)</f>
        <v>0</v>
      </c>
      <c r="L138" s="4">
        <f>IFERROR(VLOOKUP(A138,'Giro del Lario'!A:R,18,0),0)</f>
        <v>0</v>
      </c>
      <c r="M138" s="4">
        <f>IFERROR(VLOOKUP(A138,'Campo dei Fiori'!A:R,18,0),0)</f>
        <v>133.26190476190476</v>
      </c>
      <c r="N138" s="4">
        <f>IFERROR(VLOOKUP(A138,'Erba Ghisallo'!A:R,18,0),0)</f>
        <v>0</v>
      </c>
    </row>
    <row r="139" spans="1:14" x14ac:dyDescent="0.25">
      <c r="A139" s="8" t="s">
        <v>77</v>
      </c>
      <c r="B139" s="8" t="s">
        <v>66</v>
      </c>
      <c r="C139" s="62" t="s">
        <v>34</v>
      </c>
      <c r="I139" s="79">
        <f>IFERROR(VLOOKUP(A139,'Nora Sciplino'!A$12:R$58,18,0),0)</f>
        <v>8.9692307692307693</v>
      </c>
      <c r="J139" s="4">
        <f>IFERROR(VLOOKUP(A139,Castellotti!A:R,18,0),0)</f>
        <v>0</v>
      </c>
      <c r="K139" s="4">
        <f>IFERROR(VLOOKUP(A139,Solidarietà!A:R,18,0),0)</f>
        <v>0</v>
      </c>
      <c r="L139" s="4">
        <f>IFERROR(VLOOKUP(A139,'Giro del Lario'!A:R,18,0),0)</f>
        <v>0</v>
      </c>
      <c r="M139" s="4">
        <f>IFERROR(VLOOKUP(A139,'Campo dei Fiori'!A:R,18,0),0)</f>
        <v>0</v>
      </c>
      <c r="N139" s="4">
        <f>IFERROR(VLOOKUP(A139,'Erba Ghisallo'!A:R,18,0),0)</f>
        <v>0</v>
      </c>
    </row>
    <row r="140" spans="1:14" x14ac:dyDescent="0.25">
      <c r="A140" s="8" t="s">
        <v>395</v>
      </c>
      <c r="B140" s="8" t="s">
        <v>376</v>
      </c>
      <c r="C140" s="62" t="s">
        <v>119</v>
      </c>
      <c r="G140" s="62" t="s">
        <v>97</v>
      </c>
      <c r="I140" s="79">
        <f>IFERROR(VLOOKUP(A140,'Nora Sciplino'!A$12:R$58,18,0),0)</f>
        <v>0</v>
      </c>
      <c r="J140" s="4">
        <f>IFERROR(VLOOKUP(A140,Castellotti!A:R,18,0),0)</f>
        <v>0</v>
      </c>
      <c r="K140" s="4">
        <f>IFERROR(VLOOKUP(A140,Solidarietà!A:R,18,0),0)</f>
        <v>0</v>
      </c>
      <c r="L140" s="4">
        <f>IFERROR(VLOOKUP(A140,'Giro del Lario'!A:R,18,0),0)</f>
        <v>0</v>
      </c>
      <c r="M140" s="4">
        <f>IFERROR(VLOOKUP(A140,'Campo dei Fiori'!A:R,18,0),0)</f>
        <v>0</v>
      </c>
      <c r="N140" s="4">
        <f>IFERROR(VLOOKUP(A140,'Erba Ghisallo'!A:R,18,0),0)</f>
        <v>0</v>
      </c>
    </row>
    <row r="141" spans="1:14" x14ac:dyDescent="0.25">
      <c r="A141" s="8" t="s">
        <v>225</v>
      </c>
      <c r="B141" s="8" t="s">
        <v>175</v>
      </c>
      <c r="C141" s="62" t="s">
        <v>34</v>
      </c>
      <c r="I141" s="79">
        <f>IFERROR(VLOOKUP(A141,'Nora Sciplino'!A$12:R$58,18,0),0)</f>
        <v>0</v>
      </c>
      <c r="J141" s="4">
        <f>IFERROR(VLOOKUP(A141,Castellotti!A:R,18,0),0)</f>
        <v>9.138461538461538</v>
      </c>
      <c r="K141" s="4">
        <f>IFERROR(VLOOKUP(A141,Solidarietà!A:R,18,0),0)</f>
        <v>0</v>
      </c>
      <c r="L141" s="4">
        <f>IFERROR(VLOOKUP(A141,'Giro del Lario'!A:R,18,0),0)</f>
        <v>0</v>
      </c>
      <c r="M141" s="4">
        <f>IFERROR(VLOOKUP(A141,'Campo dei Fiori'!A:R,18,0),0)</f>
        <v>0</v>
      </c>
      <c r="N141" s="4">
        <f>IFERROR(VLOOKUP(A141,'Erba Ghisallo'!A:R,18,0),0)</f>
        <v>0</v>
      </c>
    </row>
    <row r="142" spans="1:14" x14ac:dyDescent="0.25">
      <c r="A142" s="8" t="s">
        <v>220</v>
      </c>
      <c r="B142" s="8" t="s">
        <v>172</v>
      </c>
      <c r="C142" s="62" t="s">
        <v>34</v>
      </c>
      <c r="I142" s="79">
        <f>IFERROR(VLOOKUP(A142,'Nora Sciplino'!A$12:R$58,18,0),0)</f>
        <v>0</v>
      </c>
      <c r="J142" s="4">
        <f>IFERROR(VLOOKUP(A142,Castellotti!A:R,18,0),0)</f>
        <v>18.676923076923078</v>
      </c>
      <c r="K142" s="4">
        <f>IFERROR(VLOOKUP(A142,Solidarietà!A:R,18,0),0)</f>
        <v>0</v>
      </c>
      <c r="L142" s="4">
        <f>IFERROR(VLOOKUP(A142,'Giro del Lario'!A:R,18,0),0)</f>
        <v>0</v>
      </c>
      <c r="M142" s="4">
        <f>IFERROR(VLOOKUP(A142,'Campo dei Fiori'!A:R,18,0),0)</f>
        <v>0</v>
      </c>
      <c r="N142" s="4">
        <f>IFERROR(VLOOKUP(A142,'Erba Ghisallo'!A:R,18,0),0)</f>
        <v>0</v>
      </c>
    </row>
    <row r="143" spans="1:14" x14ac:dyDescent="0.25">
      <c r="A143" s="8" t="s">
        <v>396</v>
      </c>
      <c r="B143" s="8" t="s">
        <v>376</v>
      </c>
      <c r="C143" s="62" t="s">
        <v>119</v>
      </c>
      <c r="G143" s="62" t="s">
        <v>97</v>
      </c>
      <c r="I143" s="79">
        <f>IFERROR(VLOOKUP(A143,'Nora Sciplino'!A$12:R$58,18,0),0)</f>
        <v>0</v>
      </c>
      <c r="J143" s="4">
        <f>IFERROR(VLOOKUP(A143,Castellotti!A:R,18,0),0)</f>
        <v>0</v>
      </c>
      <c r="K143" s="4">
        <f>IFERROR(VLOOKUP(A143,Solidarietà!A:R,18,0),0)</f>
        <v>0</v>
      </c>
      <c r="L143" s="4">
        <f>IFERROR(VLOOKUP(A143,'Giro del Lario'!A:R,18,0),0)</f>
        <v>0</v>
      </c>
      <c r="M143" s="4">
        <f>IFERROR(VLOOKUP(A143,'Campo dei Fiori'!A:R,18,0),0)</f>
        <v>0</v>
      </c>
      <c r="N143" s="4">
        <f>IFERROR(VLOOKUP(A143,'Erba Ghisallo'!A:R,18,0),0)</f>
        <v>0</v>
      </c>
    </row>
    <row r="144" spans="1:14" x14ac:dyDescent="0.25">
      <c r="A144" s="8" t="s">
        <v>226</v>
      </c>
      <c r="B144" s="8" t="s">
        <v>175</v>
      </c>
      <c r="C144" s="62" t="s">
        <v>34</v>
      </c>
      <c r="E144" s="62" t="s">
        <v>71</v>
      </c>
      <c r="I144" s="79">
        <f>IFERROR(VLOOKUP(A144,'Nora Sciplino'!A$12:R$58,18,0),0)</f>
        <v>0</v>
      </c>
      <c r="J144" s="4">
        <f>IFERROR(VLOOKUP(A144,Castellotti!A:R,18,0),0)</f>
        <v>53.353846153846156</v>
      </c>
      <c r="K144" s="4">
        <f>IFERROR(VLOOKUP(A144,Solidarietà!A:R,18,0),0)</f>
        <v>0</v>
      </c>
      <c r="L144" s="4">
        <f>IFERROR(VLOOKUP(A144,'Giro del Lario'!A:R,18,0),0)</f>
        <v>6.1066666666666674</v>
      </c>
      <c r="M144" s="4">
        <f>IFERROR(VLOOKUP(A144,'Campo dei Fiori'!A:R,18,0),0)</f>
        <v>0</v>
      </c>
      <c r="N144" s="4">
        <f>IFERROR(VLOOKUP(A144,'Erba Ghisallo'!A:R,18,0),0)</f>
        <v>4.7021276595744679</v>
      </c>
    </row>
    <row r="145" spans="1:14" x14ac:dyDescent="0.25">
      <c r="A145" s="8" t="s">
        <v>489</v>
      </c>
      <c r="B145" s="8" t="s">
        <v>175</v>
      </c>
      <c r="C145" s="62" t="s">
        <v>119</v>
      </c>
      <c r="I145" s="79">
        <f>IFERROR(VLOOKUP(A145,'Nora Sciplino'!A$12:R$58,18,0),0)</f>
        <v>0</v>
      </c>
      <c r="J145" s="4">
        <f>IFERROR(VLOOKUP(A145,Castellotti!A:R,18,0),0)</f>
        <v>0</v>
      </c>
      <c r="K145" s="4">
        <f>IFERROR(VLOOKUP(A145,Solidarietà!A:R,18,0),0)</f>
        <v>0</v>
      </c>
      <c r="L145" s="4">
        <f>IFERROR(VLOOKUP(A145,'Giro del Lario'!A:R,18,0),0)</f>
        <v>0</v>
      </c>
      <c r="M145" s="4">
        <f>IFERROR(VLOOKUP(A145,'Campo dei Fiori'!A:R,18,0),0)</f>
        <v>0</v>
      </c>
      <c r="N145" s="4">
        <f>IFERROR(VLOOKUP(A145,'Erba Ghisallo'!A:R,18,0),0)</f>
        <v>49.042553191489361</v>
      </c>
    </row>
    <row r="146" spans="1:14" x14ac:dyDescent="0.25">
      <c r="A146" s="8" t="s">
        <v>82</v>
      </c>
      <c r="B146" s="8" t="s">
        <v>66</v>
      </c>
      <c r="C146" s="62" t="s">
        <v>119</v>
      </c>
      <c r="G146" s="62" t="s">
        <v>97</v>
      </c>
      <c r="I146" s="79">
        <f>IFERROR(VLOOKUP(A146,'Nora Sciplino'!A$12:R$58,18,0),0)</f>
        <v>31.46153846153846</v>
      </c>
      <c r="J146" s="4">
        <f>IFERROR(VLOOKUP(A146,Castellotti!A:R,18,0),0)</f>
        <v>0</v>
      </c>
      <c r="K146" s="4">
        <f>IFERROR(VLOOKUP(A146,Solidarietà!A:R,18,0),0)</f>
        <v>0</v>
      </c>
      <c r="L146" s="4">
        <f>IFERROR(VLOOKUP(A146,'Giro del Lario'!A:R,18,0),0)</f>
        <v>0</v>
      </c>
      <c r="M146" s="4">
        <f>IFERROR(VLOOKUP(A146,'Campo dei Fiori'!A:R,18,0),0)</f>
        <v>27.357142857142851</v>
      </c>
      <c r="N146" s="4">
        <f>IFERROR(VLOOKUP(A146,'Erba Ghisallo'!A:R,18,0),0)</f>
        <v>0</v>
      </c>
    </row>
    <row r="147" spans="1:14" x14ac:dyDescent="0.25">
      <c r="A147" s="8" t="s">
        <v>21</v>
      </c>
      <c r="B147" s="8" t="s">
        <v>68</v>
      </c>
      <c r="C147" s="62" t="s">
        <v>33</v>
      </c>
      <c r="I147" s="79">
        <f>IFERROR(VLOOKUP(A147,'Nora Sciplino'!A$12:R$58,18,0),0)</f>
        <v>3.6307692307692307</v>
      </c>
      <c r="J147" s="4">
        <f>IFERROR(VLOOKUP(A147,Castellotti!A:R,18,0),0)</f>
        <v>4.5076923076923077</v>
      </c>
      <c r="K147" s="4">
        <f>IFERROR(VLOOKUP(A147,Solidarietà!A:R,18,0),0)</f>
        <v>4.4857142857142858</v>
      </c>
      <c r="L147" s="4">
        <f>IFERROR(VLOOKUP(A147,'Giro del Lario'!A:R,18,0),0)</f>
        <v>0</v>
      </c>
      <c r="M147" s="4">
        <f>IFERROR(VLOOKUP(A147,'Campo dei Fiori'!A:R,18,0),0)</f>
        <v>0</v>
      </c>
      <c r="N147" s="4">
        <f>IFERROR(VLOOKUP(A147,'Erba Ghisallo'!A:R,18,0),0)</f>
        <v>4.8723404255319149</v>
      </c>
    </row>
    <row r="148" spans="1:14" x14ac:dyDescent="0.25">
      <c r="A148" s="8" t="s">
        <v>310</v>
      </c>
      <c r="B148" s="8" t="s">
        <v>100</v>
      </c>
      <c r="C148" s="62" t="s">
        <v>119</v>
      </c>
      <c r="I148" s="79">
        <f>IFERROR(VLOOKUP(A148,'Nora Sciplino'!A$12:R$58,18,0),0)</f>
        <v>0</v>
      </c>
      <c r="J148" s="4">
        <f>IFERROR(VLOOKUP(A148,Castellotti!A:R,18,0),0)</f>
        <v>0</v>
      </c>
      <c r="K148" s="4">
        <f>IFERROR(VLOOKUP(A148,Solidarietà!A:R,18,0),0)</f>
        <v>53.771428571428572</v>
      </c>
      <c r="L148" s="4">
        <f>IFERROR(VLOOKUP(A148,'Giro del Lario'!A:R,18,0),0)</f>
        <v>0</v>
      </c>
      <c r="M148" s="4">
        <f>IFERROR(VLOOKUP(A148,'Campo dei Fiori'!A:R,18,0),0)</f>
        <v>0</v>
      </c>
      <c r="N148" s="4">
        <f>IFERROR(VLOOKUP(A148,'Erba Ghisallo'!A:R,18,0),0)</f>
        <v>0</v>
      </c>
    </row>
    <row r="149" spans="1:14" x14ac:dyDescent="0.25">
      <c r="A149" s="8" t="s">
        <v>352</v>
      </c>
      <c r="B149" s="8" t="s">
        <v>68</v>
      </c>
      <c r="C149" s="62" t="s">
        <v>119</v>
      </c>
      <c r="I149" s="79">
        <f>IFERROR(VLOOKUP(A149,'Nora Sciplino'!A$12:R$58,18,0),0)</f>
        <v>0</v>
      </c>
      <c r="J149" s="4">
        <f>IFERROR(VLOOKUP(A149,Castellotti!A:R,18,0),0)</f>
        <v>0</v>
      </c>
      <c r="K149" s="4">
        <f>IFERROR(VLOOKUP(A149,Solidarietà!A:R,18,0),0)</f>
        <v>0</v>
      </c>
      <c r="L149" s="4">
        <f>IFERROR(VLOOKUP(A149,'Giro del Lario'!A:R,18,0),0)</f>
        <v>444.44</v>
      </c>
      <c r="M149" s="4">
        <f>IFERROR(VLOOKUP(A149,'Campo dei Fiori'!A:R,18,0),0)</f>
        <v>0</v>
      </c>
      <c r="N149" s="4">
        <f>IFERROR(VLOOKUP(A149,'Erba Ghisallo'!A:R,18,0),0)</f>
        <v>0</v>
      </c>
    </row>
    <row r="150" spans="1:14" x14ac:dyDescent="0.25">
      <c r="A150" s="8" t="s">
        <v>397</v>
      </c>
      <c r="B150" s="8" t="s">
        <v>376</v>
      </c>
      <c r="C150" s="62" t="s">
        <v>119</v>
      </c>
      <c r="G150" s="62" t="s">
        <v>97</v>
      </c>
      <c r="I150" s="79">
        <f>IFERROR(VLOOKUP(A150,'Nora Sciplino'!A$12:R$58,18,0),0)</f>
        <v>0</v>
      </c>
      <c r="J150" s="4">
        <f>IFERROR(VLOOKUP(A150,Castellotti!A:R,18,0),0)</f>
        <v>0</v>
      </c>
      <c r="K150" s="4">
        <f>IFERROR(VLOOKUP(A150,Solidarietà!A:R,18,0),0)</f>
        <v>0</v>
      </c>
      <c r="L150" s="4">
        <f>IFERROR(VLOOKUP(A150,'Giro del Lario'!A:R,18,0),0)</f>
        <v>0</v>
      </c>
      <c r="M150" s="4">
        <f>IFERROR(VLOOKUP(A150,'Campo dei Fiori'!A:R,18,0),0)</f>
        <v>0</v>
      </c>
      <c r="N150" s="4">
        <f>IFERROR(VLOOKUP(A150,'Erba Ghisallo'!A:R,18,0),0)</f>
        <v>0</v>
      </c>
    </row>
    <row r="151" spans="1:14" x14ac:dyDescent="0.25">
      <c r="A151" s="8" t="s">
        <v>26</v>
      </c>
      <c r="B151" s="8" t="s">
        <v>66</v>
      </c>
      <c r="C151" s="62" t="s">
        <v>119</v>
      </c>
      <c r="I151" s="79">
        <f>IFERROR(VLOOKUP(A151,'Nora Sciplino'!A$12:R$58,18,0),0)</f>
        <v>39.507692307692309</v>
      </c>
      <c r="J151" s="4">
        <f>IFERROR(VLOOKUP(A151,Castellotti!A:R,18,0),0)</f>
        <v>0</v>
      </c>
      <c r="K151" s="4">
        <f>IFERROR(VLOOKUP(A151,Solidarietà!A:R,18,0),0)</f>
        <v>0</v>
      </c>
      <c r="L151" s="4">
        <f>IFERROR(VLOOKUP(A151,'Giro del Lario'!A:R,18,0),0)</f>
        <v>0</v>
      </c>
      <c r="M151" s="4">
        <f>IFERROR(VLOOKUP(A151,'Campo dei Fiori'!A:R,18,0),0)</f>
        <v>0</v>
      </c>
      <c r="N151" s="4">
        <f>IFERROR(VLOOKUP(A151,'Erba Ghisallo'!A:R,18,0),0)</f>
        <v>0</v>
      </c>
    </row>
    <row r="152" spans="1:14" x14ac:dyDescent="0.25">
      <c r="A152" s="8" t="s">
        <v>311</v>
      </c>
      <c r="B152" s="8" t="s">
        <v>98</v>
      </c>
      <c r="C152" s="62" t="s">
        <v>33</v>
      </c>
      <c r="D152" s="62" t="s">
        <v>7</v>
      </c>
      <c r="E152" s="62" t="s">
        <v>71</v>
      </c>
      <c r="I152" s="79">
        <f>IFERROR(VLOOKUP(A152,'Nora Sciplino'!A$12:R$58,18,0),0)</f>
        <v>0</v>
      </c>
      <c r="J152" s="4">
        <f>IFERROR(VLOOKUP(A152,Castellotti!A:R,18,0),0)</f>
        <v>0</v>
      </c>
      <c r="K152" s="4">
        <f>IFERROR(VLOOKUP(A152,Solidarietà!A:R,18,0),0)</f>
        <v>5.7285714285714286</v>
      </c>
      <c r="L152" s="4">
        <f>IFERROR(VLOOKUP(A152,'Giro del Lario'!A:R,18,0),0)</f>
        <v>0</v>
      </c>
      <c r="M152" s="4">
        <f>IFERROR(VLOOKUP(A152,'Campo dei Fiori'!A:R,18,0),0)</f>
        <v>0</v>
      </c>
      <c r="N152" s="4">
        <f>IFERROR(VLOOKUP(A152,'Erba Ghisallo'!A:R,18,0),0)</f>
        <v>0</v>
      </c>
    </row>
    <row r="153" spans="1:14" x14ac:dyDescent="0.25">
      <c r="A153" s="80" t="s">
        <v>571</v>
      </c>
      <c r="B153" s="8" t="s">
        <v>98</v>
      </c>
      <c r="C153" s="62" t="s">
        <v>119</v>
      </c>
      <c r="I153" s="79">
        <f>IFERROR(VLOOKUP(A153,'Nora Sciplino'!A$12:R$58,18,0),0)</f>
        <v>0</v>
      </c>
      <c r="J153" s="4">
        <f>IFERROR(VLOOKUP(A153,Castellotti!A:R,18,0),0)</f>
        <v>0</v>
      </c>
      <c r="K153" s="4">
        <f>IFERROR(VLOOKUP(A153,Solidarietà!A:R,18,0),0)</f>
        <v>0</v>
      </c>
      <c r="L153" s="4">
        <f>IFERROR(VLOOKUP(A153,'Giro del Lario'!A:R,18,0),0)</f>
        <v>0</v>
      </c>
      <c r="M153" s="4">
        <f>IFERROR(VLOOKUP(A153,'Campo dei Fiori'!A:R,18,0),0)</f>
        <v>0</v>
      </c>
      <c r="N153" s="4">
        <f>IFERROR(VLOOKUP(A153,'Erba Ghisallo'!A:R,18,0),0)</f>
        <v>0</v>
      </c>
    </row>
    <row r="154" spans="1:14" x14ac:dyDescent="0.25">
      <c r="A154" s="8" t="s">
        <v>312</v>
      </c>
      <c r="B154" s="8" t="s">
        <v>98</v>
      </c>
      <c r="C154" s="62" t="s">
        <v>119</v>
      </c>
      <c r="I154" s="79">
        <f>IFERROR(VLOOKUP(A154,'Nora Sciplino'!A$12:R$58,18,0),0)</f>
        <v>0</v>
      </c>
      <c r="J154" s="4">
        <f>IFERROR(VLOOKUP(A154,Castellotti!A:R,18,0),0)</f>
        <v>0</v>
      </c>
      <c r="K154" s="4">
        <f>IFERROR(VLOOKUP(A154,Solidarietà!A:R,18,0),0)</f>
        <v>25.37142857142857</v>
      </c>
      <c r="L154" s="4">
        <f>IFERROR(VLOOKUP(A154,'Giro del Lario'!A:R,18,0),0)</f>
        <v>0</v>
      </c>
      <c r="M154" s="4">
        <f>IFERROR(VLOOKUP(A154,'Campo dei Fiori'!A:R,18,0),0)</f>
        <v>0</v>
      </c>
      <c r="N154" s="4">
        <f>IFERROR(VLOOKUP(A154,'Erba Ghisallo'!A:R,18,0),0)</f>
        <v>0</v>
      </c>
    </row>
    <row r="155" spans="1:14" x14ac:dyDescent="0.25">
      <c r="A155" s="8" t="s">
        <v>203</v>
      </c>
      <c r="B155" s="8" t="s">
        <v>99</v>
      </c>
      <c r="C155" s="62" t="s">
        <v>119</v>
      </c>
      <c r="I155" s="79">
        <f>IFERROR(VLOOKUP(A155,'Nora Sciplino'!A$12:R$58,18,0),0)</f>
        <v>0</v>
      </c>
      <c r="J155" s="4">
        <f>IFERROR(VLOOKUP(A155,Castellotti!A:R,18,0),0)</f>
        <v>247.38461538461539</v>
      </c>
      <c r="K155" s="4">
        <f>IFERROR(VLOOKUP(A155,Solidarietà!A:R,18,0),0)</f>
        <v>0</v>
      </c>
      <c r="L155" s="4">
        <f>IFERROR(VLOOKUP(A155,'Giro del Lario'!A:R,18,0),0)</f>
        <v>0</v>
      </c>
      <c r="M155" s="4">
        <f>IFERROR(VLOOKUP(A155,'Campo dei Fiori'!A:R,18,0),0)</f>
        <v>0</v>
      </c>
      <c r="N155" s="4">
        <f>IFERROR(VLOOKUP(A155,'Erba Ghisallo'!A:R,18,0),0)</f>
        <v>0</v>
      </c>
    </row>
    <row r="156" spans="1:14" x14ac:dyDescent="0.25">
      <c r="A156" s="8" t="s">
        <v>218</v>
      </c>
      <c r="B156" s="8" t="s">
        <v>98</v>
      </c>
      <c r="C156" s="62" t="s">
        <v>33</v>
      </c>
      <c r="I156" s="79">
        <f>IFERROR(VLOOKUP(A156,'Nora Sciplino'!A$12:R$58,18,0),0)</f>
        <v>0</v>
      </c>
      <c r="J156" s="4">
        <f>IFERROR(VLOOKUP(A156,Castellotti!A:R,18,0),0)</f>
        <v>14.276923076923078</v>
      </c>
      <c r="K156" s="4">
        <f>IFERROR(VLOOKUP(A156,Solidarietà!A:R,18,0),0)</f>
        <v>6.8142857142857141</v>
      </c>
      <c r="L156" s="4">
        <f>IFERROR(VLOOKUP(A156,'Giro del Lario'!A:R,18,0),0)</f>
        <v>0</v>
      </c>
      <c r="M156" s="4">
        <f>IFERROR(VLOOKUP(A156,'Campo dei Fiori'!A:R,18,0),0)</f>
        <v>0</v>
      </c>
      <c r="N156" s="4">
        <f>IFERROR(VLOOKUP(A156,'Erba Ghisallo'!A:R,18,0),0)</f>
        <v>11.23404255319149</v>
      </c>
    </row>
    <row r="157" spans="1:14" x14ac:dyDescent="0.25">
      <c r="A157" s="8" t="s">
        <v>499</v>
      </c>
      <c r="B157" s="8" t="s">
        <v>175</v>
      </c>
      <c r="C157" s="62" t="s">
        <v>119</v>
      </c>
      <c r="I157" s="79">
        <f>IFERROR(VLOOKUP(A157,'Nora Sciplino'!A$12:R$58,18,0),0)</f>
        <v>0</v>
      </c>
      <c r="J157" s="4">
        <f>IFERROR(VLOOKUP(A157,Castellotti!A:R,18,0),0)</f>
        <v>0</v>
      </c>
      <c r="K157" s="4">
        <f>IFERROR(VLOOKUP(A157,Solidarietà!A:R,18,0),0)</f>
        <v>0</v>
      </c>
      <c r="L157" s="4">
        <f>IFERROR(VLOOKUP(A157,'Giro del Lario'!A:R,18,0),0)</f>
        <v>0</v>
      </c>
      <c r="M157" s="4">
        <f>IFERROR(VLOOKUP(A157,'Campo dei Fiori'!A:R,18,0),0)</f>
        <v>0</v>
      </c>
      <c r="N157" s="4" t="str">
        <f>IFERROR(VLOOKUP(A157,'Erba Ghisallo'!A:R,18,0),0)</f>
        <v>ND</v>
      </c>
    </row>
    <row r="158" spans="1:14" x14ac:dyDescent="0.25">
      <c r="A158" s="8" t="s">
        <v>398</v>
      </c>
      <c r="B158" s="8" t="s">
        <v>376</v>
      </c>
      <c r="C158" s="62" t="s">
        <v>33</v>
      </c>
      <c r="I158" s="79">
        <f>IFERROR(VLOOKUP(A158,'Nora Sciplino'!A$12:R$58,18,0),0)</f>
        <v>0</v>
      </c>
      <c r="J158" s="4">
        <f>IFERROR(VLOOKUP(A158,Castellotti!A:R,18,0),0)</f>
        <v>3.523076923076923</v>
      </c>
      <c r="K158" s="4">
        <f>IFERROR(VLOOKUP(A158,Solidarietà!A:R,18,0),0)</f>
        <v>3.4285714285714284</v>
      </c>
      <c r="L158" s="4">
        <f>IFERROR(VLOOKUP(A158,'Giro del Lario'!A:R,18,0),0)</f>
        <v>0</v>
      </c>
      <c r="M158" s="4">
        <f>IFERROR(VLOOKUP(A158,'Campo dei Fiori'!A:R,18,0),0)</f>
        <v>0</v>
      </c>
      <c r="N158" s="4">
        <f>IFERROR(VLOOKUP(A158,'Erba Ghisallo'!A:R,18,0),0)</f>
        <v>0</v>
      </c>
    </row>
    <row r="159" spans="1:14" x14ac:dyDescent="0.25">
      <c r="A159" s="8" t="s">
        <v>81</v>
      </c>
      <c r="B159" s="8" t="s">
        <v>99</v>
      </c>
      <c r="C159" s="62" t="s">
        <v>119</v>
      </c>
      <c r="I159" s="79">
        <f>IFERROR(VLOOKUP(A159,'Nora Sciplino'!A$12:R$58,18,0),0)</f>
        <v>15.876923076923077</v>
      </c>
      <c r="J159" s="4">
        <f>IFERROR(VLOOKUP(A159,Castellotti!A:R,18,0),0)</f>
        <v>22.6</v>
      </c>
      <c r="K159" s="4">
        <f>IFERROR(VLOOKUP(A159,Solidarietà!A:R,18,0),0)</f>
        <v>9.9428571428571431</v>
      </c>
      <c r="L159" s="4">
        <f>IFERROR(VLOOKUP(A159,'Giro del Lario'!A:R,18,0),0)</f>
        <v>0</v>
      </c>
      <c r="M159" s="4">
        <f>IFERROR(VLOOKUP(A159,'Campo dei Fiori'!A:R,18,0),0)</f>
        <v>0</v>
      </c>
      <c r="N159" s="4">
        <f>IFERROR(VLOOKUP(A159,'Erba Ghisallo'!A:R,18,0),0)</f>
        <v>0</v>
      </c>
    </row>
    <row r="160" spans="1:14" x14ac:dyDescent="0.25">
      <c r="A160" s="8" t="s">
        <v>30</v>
      </c>
      <c r="B160" s="8" t="s">
        <v>66</v>
      </c>
      <c r="C160" s="62" t="s">
        <v>119</v>
      </c>
      <c r="I160" s="79">
        <f>IFERROR(VLOOKUP(A160,'Nora Sciplino'!A$12:R$58,18,0),0)</f>
        <v>20.646153846153847</v>
      </c>
      <c r="J160" s="4">
        <f>IFERROR(VLOOKUP(A160,Castellotti!A:R,18,0),0)</f>
        <v>0</v>
      </c>
      <c r="K160" s="4">
        <f>IFERROR(VLOOKUP(A160,Solidarietà!A:R,18,0),0)</f>
        <v>0</v>
      </c>
      <c r="L160" s="4">
        <f>IFERROR(VLOOKUP(A160,'Giro del Lario'!A:R,18,0),0)</f>
        <v>0</v>
      </c>
      <c r="M160" s="4">
        <f>IFERROR(VLOOKUP(A160,'Campo dei Fiori'!A:R,18,0),0)</f>
        <v>0</v>
      </c>
      <c r="N160" s="4">
        <f>IFERROR(VLOOKUP(A160,'Erba Ghisallo'!A:R,18,0),0)</f>
        <v>0</v>
      </c>
    </row>
    <row r="161" spans="1:14" x14ac:dyDescent="0.25">
      <c r="A161" s="8" t="s">
        <v>399</v>
      </c>
      <c r="B161" s="8" t="s">
        <v>376</v>
      </c>
      <c r="C161" s="62" t="s">
        <v>119</v>
      </c>
      <c r="G161" s="62" t="s">
        <v>97</v>
      </c>
      <c r="I161" s="79">
        <f>IFERROR(VLOOKUP(A161,'Nora Sciplino'!A$12:R$58,18,0),0)</f>
        <v>0</v>
      </c>
      <c r="J161" s="4">
        <f>IFERROR(VLOOKUP(A161,Castellotti!A:R,18,0),0)</f>
        <v>0</v>
      </c>
      <c r="K161" s="4">
        <f>IFERROR(VLOOKUP(A161,Solidarietà!A:R,18,0),0)</f>
        <v>0</v>
      </c>
      <c r="L161" s="4">
        <f>IFERROR(VLOOKUP(A161,'Giro del Lario'!A:R,18,0),0)</f>
        <v>0</v>
      </c>
      <c r="M161" s="4">
        <f>IFERROR(VLOOKUP(A161,'Campo dei Fiori'!A:R,18,0),0)</f>
        <v>0</v>
      </c>
      <c r="N161" s="4">
        <f>IFERROR(VLOOKUP(A161,'Erba Ghisallo'!A:R,18,0),0)</f>
        <v>0</v>
      </c>
    </row>
    <row r="162" spans="1:14" x14ac:dyDescent="0.25">
      <c r="A162" s="8" t="s">
        <v>313</v>
      </c>
      <c r="B162" s="8" t="s">
        <v>98</v>
      </c>
      <c r="C162" s="62" t="s">
        <v>119</v>
      </c>
      <c r="I162" s="79">
        <f>IFERROR(VLOOKUP(A162,'Nora Sciplino'!A$12:R$58,18,0),0)</f>
        <v>0</v>
      </c>
      <c r="J162" s="4">
        <f>IFERROR(VLOOKUP(A162,Castellotti!A:R,18,0),0)</f>
        <v>0</v>
      </c>
      <c r="K162" s="4">
        <f>IFERROR(VLOOKUP(A162,Solidarietà!A:R,18,0),0)</f>
        <v>36.628571428571426</v>
      </c>
      <c r="L162" s="4">
        <f>IFERROR(VLOOKUP(A162,'Giro del Lario'!A:R,18,0),0)</f>
        <v>0</v>
      </c>
      <c r="M162" s="4">
        <f>IFERROR(VLOOKUP(A162,'Campo dei Fiori'!A:R,18,0),0)</f>
        <v>0</v>
      </c>
      <c r="N162" s="4">
        <f>IFERROR(VLOOKUP(A162,'Erba Ghisallo'!A:R,18,0),0)</f>
        <v>0</v>
      </c>
    </row>
    <row r="163" spans="1:14" x14ac:dyDescent="0.25">
      <c r="A163" s="8" t="s">
        <v>70</v>
      </c>
      <c r="B163" s="8" t="s">
        <v>68</v>
      </c>
      <c r="C163" s="62" t="s">
        <v>33</v>
      </c>
      <c r="D163" s="62" t="s">
        <v>71</v>
      </c>
      <c r="I163" s="79">
        <f>IFERROR(VLOOKUP(A163,'Nora Sciplino'!A$12:R$58,18,0),0)</f>
        <v>6.0769230769230766</v>
      </c>
      <c r="J163" s="4">
        <f>IFERROR(VLOOKUP(A163,Castellotti!A:R,18,0),0)</f>
        <v>4.8769230769230774</v>
      </c>
      <c r="K163" s="4">
        <f>IFERROR(VLOOKUP(A163,Solidarietà!A:R,18,0),0)</f>
        <v>18.114285714285714</v>
      </c>
      <c r="L163" s="4">
        <f>IFERROR(VLOOKUP(A163,'Giro del Lario'!A:R,18,0),0)</f>
        <v>0</v>
      </c>
      <c r="M163" s="4">
        <f>IFERROR(VLOOKUP(A163,'Campo dei Fiori'!A:R,18,0),0)</f>
        <v>0</v>
      </c>
      <c r="N163" s="4">
        <f>IFERROR(VLOOKUP(A163,'Erba Ghisallo'!A:R,18,0),0)</f>
        <v>6.4042553191489358</v>
      </c>
    </row>
    <row r="164" spans="1:14" x14ac:dyDescent="0.25">
      <c r="A164" s="8" t="s">
        <v>74</v>
      </c>
      <c r="B164" s="8" t="s">
        <v>99</v>
      </c>
      <c r="C164" s="62" t="s">
        <v>33</v>
      </c>
      <c r="I164" s="79">
        <f>IFERROR(VLOOKUP(A164,'Nora Sciplino'!A$12:R$58,18,0),0)</f>
        <v>8.0307692307692307</v>
      </c>
      <c r="J164" s="4">
        <f>IFERROR(VLOOKUP(A164,Castellotti!A:R,18,0),0)</f>
        <v>10</v>
      </c>
      <c r="K164" s="4">
        <f>IFERROR(VLOOKUP(A164,Solidarietà!A:R,18,0),0)</f>
        <v>163</v>
      </c>
      <c r="L164" s="4">
        <f>IFERROR(VLOOKUP(A164,'Giro del Lario'!A:R,18,0),0)</f>
        <v>0</v>
      </c>
      <c r="M164" s="4">
        <f>IFERROR(VLOOKUP(A164,'Campo dei Fiori'!A:R,18,0),0)</f>
        <v>0</v>
      </c>
      <c r="N164" s="4">
        <f>IFERROR(VLOOKUP(A164,'Erba Ghisallo'!A:R,18,0),0)</f>
        <v>8.6808510638297864</v>
      </c>
    </row>
    <row r="165" spans="1:14" x14ac:dyDescent="0.25">
      <c r="A165" s="8" t="s">
        <v>189</v>
      </c>
      <c r="B165" s="8" t="s">
        <v>99</v>
      </c>
      <c r="C165" s="62" t="s">
        <v>119</v>
      </c>
      <c r="I165" s="79">
        <f>IFERROR(VLOOKUP(A165,'Nora Sciplino'!A$12:R$58,18,0),0)</f>
        <v>0</v>
      </c>
      <c r="J165" s="4">
        <f>IFERROR(VLOOKUP(A165,Castellotti!A:R,18,0),0)</f>
        <v>18.953846153846154</v>
      </c>
      <c r="K165" s="4">
        <f>IFERROR(VLOOKUP(A165,Solidarietà!A:R,18,0),0)</f>
        <v>0</v>
      </c>
      <c r="L165" s="4">
        <f>IFERROR(VLOOKUP(A165,'Giro del Lario'!A:R,18,0),0)</f>
        <v>0</v>
      </c>
      <c r="M165" s="4">
        <f>IFERROR(VLOOKUP(A165,'Campo dei Fiori'!A:R,18,0),0)</f>
        <v>9.5714285714285694</v>
      </c>
      <c r="N165" s="4">
        <f>IFERROR(VLOOKUP(A165,'Erba Ghisallo'!A:R,18,0),0)</f>
        <v>8.6595744680851059</v>
      </c>
    </row>
    <row r="166" spans="1:14" x14ac:dyDescent="0.25">
      <c r="A166" s="8" t="s">
        <v>195</v>
      </c>
      <c r="B166" s="8" t="s">
        <v>99</v>
      </c>
      <c r="C166" s="62" t="s">
        <v>119</v>
      </c>
      <c r="I166" s="79">
        <f>IFERROR(VLOOKUP(A166,'Nora Sciplino'!A$12:R$58,18,0),0)</f>
        <v>0</v>
      </c>
      <c r="J166" s="4">
        <f>IFERROR(VLOOKUP(A166,Castellotti!A:R,18,0),0)</f>
        <v>29.430769230769229</v>
      </c>
      <c r="K166" s="4">
        <f>IFERROR(VLOOKUP(A166,Solidarietà!A:R,18,0),0)</f>
        <v>0</v>
      </c>
      <c r="L166" s="4">
        <f>IFERROR(VLOOKUP(A166,'Giro del Lario'!A:R,18,0),0)</f>
        <v>0</v>
      </c>
      <c r="M166" s="4">
        <f>IFERROR(VLOOKUP(A166,'Campo dei Fiori'!A:R,18,0),0)</f>
        <v>0</v>
      </c>
      <c r="N166" s="4">
        <f>IFERROR(VLOOKUP(A166,'Erba Ghisallo'!A:R,18,0),0)</f>
        <v>0</v>
      </c>
    </row>
    <row r="167" spans="1:14" x14ac:dyDescent="0.25">
      <c r="A167" s="8" t="s">
        <v>400</v>
      </c>
      <c r="B167" s="8" t="s">
        <v>376</v>
      </c>
      <c r="C167" s="62" t="s">
        <v>119</v>
      </c>
      <c r="I167" s="79">
        <f>IFERROR(VLOOKUP(A167,'Nora Sciplino'!A$12:R$58,18,0),0)</f>
        <v>0</v>
      </c>
      <c r="J167" s="4">
        <f>IFERROR(VLOOKUP(A167,Castellotti!A:R,18,0),0)</f>
        <v>0</v>
      </c>
      <c r="K167" s="4">
        <f>IFERROR(VLOOKUP(A167,Solidarietà!A:R,18,0),0)</f>
        <v>0</v>
      </c>
      <c r="L167" s="4">
        <f>IFERROR(VLOOKUP(A167,'Giro del Lario'!A:R,18,0),0)</f>
        <v>0</v>
      </c>
      <c r="M167" s="4">
        <f>IFERROR(VLOOKUP(A167,'Campo dei Fiori'!A:R,18,0),0)</f>
        <v>0</v>
      </c>
      <c r="N167" s="4">
        <f>IFERROR(VLOOKUP(A167,'Erba Ghisallo'!A:R,18,0),0)</f>
        <v>0</v>
      </c>
    </row>
    <row r="168" spans="1:14" x14ac:dyDescent="0.25">
      <c r="A168" s="8" t="s">
        <v>347</v>
      </c>
      <c r="B168" s="105" t="s">
        <v>175</v>
      </c>
      <c r="C168" s="62" t="s">
        <v>34</v>
      </c>
      <c r="G168" s="62" t="s">
        <v>97</v>
      </c>
      <c r="I168" s="79">
        <f>IFERROR(VLOOKUP(A168,'Nora Sciplino'!A$12:R$58,18,0),0)</f>
        <v>0</v>
      </c>
      <c r="J168" s="4">
        <f>IFERROR(VLOOKUP(A168,Castellotti!A:R,18,0),0)</f>
        <v>0</v>
      </c>
      <c r="K168" s="4">
        <f>IFERROR(VLOOKUP(A168,Solidarietà!A:R,18,0),0)</f>
        <v>0</v>
      </c>
      <c r="L168" s="4">
        <f>IFERROR(VLOOKUP(A168,'Giro del Lario'!A:R,18,0),0)</f>
        <v>61.96</v>
      </c>
      <c r="M168" s="4">
        <f>IFERROR(VLOOKUP(A168,'Campo dei Fiori'!A:R,18,0),0)</f>
        <v>0</v>
      </c>
      <c r="N168" s="4">
        <f>IFERROR(VLOOKUP(A168,'Erba Ghisallo'!A:R,18,0),0)</f>
        <v>0</v>
      </c>
    </row>
    <row r="169" spans="1:14" x14ac:dyDescent="0.25">
      <c r="A169" s="8" t="s">
        <v>401</v>
      </c>
      <c r="B169" s="8" t="s">
        <v>376</v>
      </c>
      <c r="C169" s="62" t="s">
        <v>119</v>
      </c>
      <c r="D169" s="62" t="s">
        <v>71</v>
      </c>
      <c r="I169" s="79">
        <f>IFERROR(VLOOKUP(A169,'Nora Sciplino'!A$12:R$58,18,0),0)</f>
        <v>0</v>
      </c>
      <c r="J169" s="4">
        <f>IFERROR(VLOOKUP(A169,Castellotti!A:R,18,0),0)</f>
        <v>0</v>
      </c>
      <c r="K169" s="4">
        <f>IFERROR(VLOOKUP(A169,Solidarietà!A:R,18,0),0)</f>
        <v>0</v>
      </c>
      <c r="L169" s="4">
        <f>IFERROR(VLOOKUP(A169,'Giro del Lario'!A:R,18,0),0)</f>
        <v>0</v>
      </c>
      <c r="M169" s="4">
        <f>IFERROR(VLOOKUP(A169,'Campo dei Fiori'!A:R,18,0),0)</f>
        <v>0</v>
      </c>
      <c r="N169" s="4">
        <f>IFERROR(VLOOKUP(A169,'Erba Ghisallo'!A:R,18,0),0)</f>
        <v>0</v>
      </c>
    </row>
    <row r="170" spans="1:14" x14ac:dyDescent="0.25">
      <c r="A170" s="8" t="s">
        <v>500</v>
      </c>
      <c r="B170" s="8" t="s">
        <v>175</v>
      </c>
      <c r="C170" s="62" t="s">
        <v>119</v>
      </c>
      <c r="I170" s="79">
        <f>IFERROR(VLOOKUP(A170,'Nora Sciplino'!A$12:R$58,18,0),0)</f>
        <v>0</v>
      </c>
      <c r="J170" s="4">
        <f>IFERROR(VLOOKUP(A170,Castellotti!A:R,18,0),0)</f>
        <v>0</v>
      </c>
      <c r="K170" s="4">
        <f>IFERROR(VLOOKUP(A170,Solidarietà!A:R,18,0),0)</f>
        <v>0</v>
      </c>
      <c r="L170" s="4">
        <f>IFERROR(VLOOKUP(A170,'Giro del Lario'!A:R,18,0),0)</f>
        <v>0</v>
      </c>
      <c r="M170" s="4">
        <f>IFERROR(VLOOKUP(A170,'Campo dei Fiori'!A:R,18,0),0)</f>
        <v>0</v>
      </c>
      <c r="N170" s="4">
        <f>IFERROR(VLOOKUP(A170,'Erba Ghisallo'!A:R,18,0),0)</f>
        <v>153.04255319148936</v>
      </c>
    </row>
    <row r="171" spans="1:14" x14ac:dyDescent="0.25">
      <c r="A171" s="8" t="s">
        <v>197</v>
      </c>
      <c r="B171" s="8" t="s">
        <v>99</v>
      </c>
      <c r="C171" s="62" t="s">
        <v>119</v>
      </c>
      <c r="I171" s="79">
        <f>IFERROR(VLOOKUP(A171,'Nora Sciplino'!A$12:R$58,18,0),0)</f>
        <v>0</v>
      </c>
      <c r="J171" s="4">
        <f>IFERROR(VLOOKUP(A171,Castellotti!A:R,18,0),0)</f>
        <v>24.707692307692309</v>
      </c>
      <c r="K171" s="4">
        <f>IFERROR(VLOOKUP(A171,Solidarietà!A:R,18,0),0)</f>
        <v>0</v>
      </c>
      <c r="L171" s="4">
        <f>IFERROR(VLOOKUP(A171,'Giro del Lario'!A:R,18,0),0)</f>
        <v>0</v>
      </c>
      <c r="M171" s="4">
        <f>IFERROR(VLOOKUP(A171,'Campo dei Fiori'!A:R,18,0),0)</f>
        <v>0</v>
      </c>
      <c r="N171" s="4">
        <f>IFERROR(VLOOKUP(A171,'Erba Ghisallo'!A:R,18,0),0)</f>
        <v>0</v>
      </c>
    </row>
    <row r="172" spans="1:14" x14ac:dyDescent="0.25">
      <c r="A172" s="8" t="s">
        <v>460</v>
      </c>
      <c r="B172" s="8" t="s">
        <v>66</v>
      </c>
      <c r="C172" s="62" t="s">
        <v>119</v>
      </c>
      <c r="G172" s="62" t="s">
        <v>97</v>
      </c>
      <c r="I172" s="79">
        <f>IFERROR(VLOOKUP(A172,'Nora Sciplino'!A$12:R$58,18,0),0)</f>
        <v>0</v>
      </c>
      <c r="J172" s="4">
        <f>IFERROR(VLOOKUP(A172,Castellotti!A:R,18,0),0)</f>
        <v>0</v>
      </c>
      <c r="K172" s="4">
        <f>IFERROR(VLOOKUP(A172,Solidarietà!A:R,18,0),0)</f>
        <v>0</v>
      </c>
      <c r="L172" s="4">
        <f>IFERROR(VLOOKUP(A172,'Giro del Lario'!A:R,18,0),0)</f>
        <v>0</v>
      </c>
      <c r="M172" s="4">
        <f>IFERROR(VLOOKUP(A172,'Campo dei Fiori'!A:R,18,0),0)</f>
        <v>668.80016051364362</v>
      </c>
      <c r="N172" s="4">
        <f>IFERROR(VLOOKUP(A172,'Erba Ghisallo'!A:R,18,0),0)</f>
        <v>0</v>
      </c>
    </row>
    <row r="173" spans="1:14" x14ac:dyDescent="0.25">
      <c r="A173" s="8" t="s">
        <v>402</v>
      </c>
      <c r="B173" s="8" t="s">
        <v>376</v>
      </c>
      <c r="C173" s="62" t="s">
        <v>119</v>
      </c>
      <c r="G173" s="62" t="s">
        <v>97</v>
      </c>
      <c r="I173" s="79">
        <f>IFERROR(VLOOKUP(A173,'Nora Sciplino'!A$12:R$58,18,0),0)</f>
        <v>0</v>
      </c>
      <c r="J173" s="4">
        <f>IFERROR(VLOOKUP(A173,Castellotti!A:R,18,0),0)</f>
        <v>0</v>
      </c>
      <c r="K173" s="4">
        <f>IFERROR(VLOOKUP(A173,Solidarietà!A:R,18,0),0)</f>
        <v>0</v>
      </c>
      <c r="L173" s="4">
        <f>IFERROR(VLOOKUP(A173,'Giro del Lario'!A:R,18,0),0)</f>
        <v>0</v>
      </c>
      <c r="M173" s="4">
        <f>IFERROR(VLOOKUP(A173,'Campo dei Fiori'!A:R,18,0),0)</f>
        <v>0</v>
      </c>
      <c r="N173" s="4">
        <f>IFERROR(VLOOKUP(A173,'Erba Ghisallo'!A:R,18,0),0)</f>
        <v>0</v>
      </c>
    </row>
    <row r="174" spans="1:14" x14ac:dyDescent="0.25">
      <c r="A174" s="80" t="s">
        <v>576</v>
      </c>
      <c r="B174" s="8" t="s">
        <v>98</v>
      </c>
      <c r="C174" s="62" t="s">
        <v>119</v>
      </c>
      <c r="I174" s="79">
        <f>IFERROR(VLOOKUP(A174,'Nora Sciplino'!A$12:R$58,18,0),0)</f>
        <v>0</v>
      </c>
      <c r="J174" s="4">
        <f>IFERROR(VLOOKUP(A174,Castellotti!A:R,18,0),0)</f>
        <v>0</v>
      </c>
      <c r="K174" s="4">
        <f>IFERROR(VLOOKUP(A174,Solidarietà!A:R,18,0),0)</f>
        <v>0</v>
      </c>
      <c r="L174" s="4">
        <f>IFERROR(VLOOKUP(A174,'Giro del Lario'!A:R,18,0),0)</f>
        <v>0</v>
      </c>
      <c r="M174" s="4">
        <f>IFERROR(VLOOKUP(A174,'Campo dei Fiori'!A:R,18,0),0)</f>
        <v>0</v>
      </c>
      <c r="N174" s="4">
        <f>IFERROR(VLOOKUP(A174,'Erba Ghisallo'!A:R,18,0),0)</f>
        <v>0</v>
      </c>
    </row>
    <row r="175" spans="1:14" x14ac:dyDescent="0.25">
      <c r="A175" s="8" t="s">
        <v>403</v>
      </c>
      <c r="B175" s="8" t="s">
        <v>376</v>
      </c>
      <c r="C175" s="62" t="s">
        <v>119</v>
      </c>
      <c r="I175" s="79">
        <f>IFERROR(VLOOKUP(A175,'Nora Sciplino'!A$12:R$58,18,0),0)</f>
        <v>0</v>
      </c>
      <c r="J175" s="4">
        <f>IFERROR(VLOOKUP(A175,Castellotti!A:R,18,0),0)</f>
        <v>0</v>
      </c>
      <c r="K175" s="4">
        <f>IFERROR(VLOOKUP(A175,Solidarietà!A:R,18,0),0)</f>
        <v>0</v>
      </c>
      <c r="L175" s="4">
        <f>IFERROR(VLOOKUP(A175,'Giro del Lario'!A:R,18,0),0)</f>
        <v>0</v>
      </c>
      <c r="M175" s="4">
        <f>IFERROR(VLOOKUP(A175,'Campo dei Fiori'!A:R,18,0),0)</f>
        <v>0</v>
      </c>
      <c r="N175" s="4">
        <f>IFERROR(VLOOKUP(A175,'Erba Ghisallo'!A:R,18,0),0)</f>
        <v>0</v>
      </c>
    </row>
    <row r="176" spans="1:14" x14ac:dyDescent="0.25">
      <c r="A176" s="8" t="s">
        <v>404</v>
      </c>
      <c r="B176" s="8" t="s">
        <v>376</v>
      </c>
      <c r="C176" s="62" t="s">
        <v>119</v>
      </c>
      <c r="I176" s="79">
        <f>IFERROR(VLOOKUP(A176,'Nora Sciplino'!A$12:R$58,18,0),0)</f>
        <v>0</v>
      </c>
      <c r="J176" s="4">
        <f>IFERROR(VLOOKUP(A176,Castellotti!A:R,18,0),0)</f>
        <v>0</v>
      </c>
      <c r="K176" s="4">
        <f>IFERROR(VLOOKUP(A176,Solidarietà!A:R,18,0),0)</f>
        <v>0</v>
      </c>
      <c r="L176" s="4">
        <f>IFERROR(VLOOKUP(A176,'Giro del Lario'!A:R,18,0),0)</f>
        <v>0</v>
      </c>
      <c r="M176" s="4">
        <f>IFERROR(VLOOKUP(A176,'Campo dei Fiori'!A:R,18,0),0)</f>
        <v>0</v>
      </c>
      <c r="N176" s="4">
        <f>IFERROR(VLOOKUP(A176,'Erba Ghisallo'!A:R,18,0),0)</f>
        <v>0</v>
      </c>
    </row>
    <row r="177" spans="1:14" x14ac:dyDescent="0.25">
      <c r="A177" s="8" t="s">
        <v>459</v>
      </c>
      <c r="B177" s="8" t="s">
        <v>66</v>
      </c>
      <c r="C177" s="62" t="s">
        <v>119</v>
      </c>
      <c r="G177" s="62" t="s">
        <v>97</v>
      </c>
      <c r="I177" s="79">
        <f>IFERROR(VLOOKUP(A177,'Nora Sciplino'!A$12:R$58,18,0),0)</f>
        <v>0</v>
      </c>
      <c r="J177" s="4">
        <f>IFERROR(VLOOKUP(A177,Castellotti!A:R,18,0),0)</f>
        <v>0</v>
      </c>
      <c r="K177" s="4">
        <f>IFERROR(VLOOKUP(A177,Solidarietà!A:R,18,0),0)</f>
        <v>0</v>
      </c>
      <c r="L177" s="4">
        <f>IFERROR(VLOOKUP(A177,'Giro del Lario'!A:R,18,0),0)</f>
        <v>0</v>
      </c>
      <c r="M177" s="4">
        <f>IFERROR(VLOOKUP(A177,'Campo dei Fiori'!A:R,18,0),0)</f>
        <v>139.26353149955634</v>
      </c>
      <c r="N177" s="4">
        <f>IFERROR(VLOOKUP(A177,'Erba Ghisallo'!A:R,18,0),0)</f>
        <v>39.212765957446805</v>
      </c>
    </row>
    <row r="178" spans="1:14" x14ac:dyDescent="0.25">
      <c r="A178" s="8" t="s">
        <v>314</v>
      </c>
      <c r="B178" s="8" t="s">
        <v>98</v>
      </c>
      <c r="C178" s="62" t="s">
        <v>34</v>
      </c>
      <c r="I178" s="79">
        <f>IFERROR(VLOOKUP(A178,'Nora Sciplino'!A$12:R$58,18,0),0)</f>
        <v>0</v>
      </c>
      <c r="J178" s="4">
        <f>IFERROR(VLOOKUP(A178,Castellotti!A:R,18,0),0)</f>
        <v>0</v>
      </c>
      <c r="K178" s="4">
        <f>IFERROR(VLOOKUP(A178,Solidarietà!A:R,18,0),0)</f>
        <v>14.885714285714286</v>
      </c>
      <c r="L178" s="4">
        <f>IFERROR(VLOOKUP(A178,'Giro del Lario'!A:R,18,0),0)</f>
        <v>0</v>
      </c>
      <c r="M178" s="4">
        <f>IFERROR(VLOOKUP(A178,'Campo dei Fiori'!A:R,18,0),0)</f>
        <v>13.94047619047619</v>
      </c>
      <c r="N178" s="4">
        <f>IFERROR(VLOOKUP(A178,'Erba Ghisallo'!A:R,18,0),0)</f>
        <v>9.2978723404255312</v>
      </c>
    </row>
    <row r="179" spans="1:14" x14ac:dyDescent="0.25">
      <c r="A179" s="80" t="s">
        <v>574</v>
      </c>
      <c r="B179" s="8" t="s">
        <v>174</v>
      </c>
      <c r="C179" s="62" t="s">
        <v>119</v>
      </c>
      <c r="I179" s="79">
        <f>IFERROR(VLOOKUP(A179,'Nora Sciplino'!A$12:R$58,18,0),0)</f>
        <v>0</v>
      </c>
      <c r="J179" s="4">
        <f>IFERROR(VLOOKUP(A179,Castellotti!A:R,18,0),0)</f>
        <v>0</v>
      </c>
      <c r="K179" s="4">
        <f>IFERROR(VLOOKUP(A179,Solidarietà!A:R,18,0),0)</f>
        <v>0</v>
      </c>
      <c r="L179" s="4">
        <f>IFERROR(VLOOKUP(A179,'Giro del Lario'!A:R,18,0),0)</f>
        <v>0</v>
      </c>
      <c r="M179" s="4">
        <f>IFERROR(VLOOKUP(A179,'Campo dei Fiori'!A:R,18,0),0)</f>
        <v>0</v>
      </c>
      <c r="N179" s="4">
        <f>IFERROR(VLOOKUP(A179,'Erba Ghisallo'!A:R,18,0),0)</f>
        <v>0</v>
      </c>
    </row>
    <row r="180" spans="1:14" x14ac:dyDescent="0.25">
      <c r="A180" s="8" t="s">
        <v>486</v>
      </c>
      <c r="B180" s="8" t="s">
        <v>175</v>
      </c>
      <c r="C180" s="62" t="s">
        <v>119</v>
      </c>
    </row>
    <row r="181" spans="1:14" x14ac:dyDescent="0.25">
      <c r="A181" s="8" t="s">
        <v>405</v>
      </c>
      <c r="B181" s="8" t="s">
        <v>376</v>
      </c>
      <c r="C181" s="62" t="s">
        <v>119</v>
      </c>
      <c r="G181" s="62" t="s">
        <v>97</v>
      </c>
    </row>
    <row r="182" spans="1:14" x14ac:dyDescent="0.25">
      <c r="A182" s="8" t="s">
        <v>406</v>
      </c>
      <c r="B182" s="8" t="s">
        <v>376</v>
      </c>
      <c r="C182" s="62" t="s">
        <v>119</v>
      </c>
      <c r="G182" s="62" t="s">
        <v>97</v>
      </c>
    </row>
    <row r="183" spans="1:14" x14ac:dyDescent="0.25">
      <c r="A183" s="8" t="s">
        <v>91</v>
      </c>
      <c r="B183" s="8" t="s">
        <v>100</v>
      </c>
      <c r="C183" s="62" t="s">
        <v>119</v>
      </c>
      <c r="G183" s="62" t="s">
        <v>97</v>
      </c>
    </row>
    <row r="184" spans="1:14" x14ac:dyDescent="0.25">
      <c r="A184" s="8" t="s">
        <v>209</v>
      </c>
      <c r="B184" s="8" t="s">
        <v>170</v>
      </c>
      <c r="C184" s="62" t="s">
        <v>33</v>
      </c>
    </row>
    <row r="185" spans="1:14" x14ac:dyDescent="0.25">
      <c r="A185" s="8" t="s">
        <v>455</v>
      </c>
      <c r="B185" s="8" t="s">
        <v>66</v>
      </c>
      <c r="C185" s="62" t="s">
        <v>119</v>
      </c>
      <c r="G185" s="62" t="s">
        <v>97</v>
      </c>
    </row>
    <row r="186" spans="1:14" x14ac:dyDescent="0.25">
      <c r="A186" s="8" t="s">
        <v>494</v>
      </c>
      <c r="B186" s="8" t="s">
        <v>175</v>
      </c>
      <c r="C186" s="62" t="s">
        <v>119</v>
      </c>
    </row>
    <row r="187" spans="1:14" x14ac:dyDescent="0.25">
      <c r="A187" s="8" t="s">
        <v>31</v>
      </c>
      <c r="B187" s="8" t="s">
        <v>98</v>
      </c>
      <c r="C187" s="62" t="s">
        <v>34</v>
      </c>
    </row>
    <row r="188" spans="1:14" x14ac:dyDescent="0.25">
      <c r="A188" s="8" t="s">
        <v>227</v>
      </c>
      <c r="B188" s="8" t="s">
        <v>175</v>
      </c>
      <c r="C188" s="62" t="s">
        <v>119</v>
      </c>
    </row>
    <row r="189" spans="1:14" x14ac:dyDescent="0.25">
      <c r="A189" s="8" t="s">
        <v>487</v>
      </c>
      <c r="B189" s="8" t="s">
        <v>175</v>
      </c>
      <c r="C189" s="62" t="s">
        <v>34</v>
      </c>
    </row>
    <row r="190" spans="1:14" x14ac:dyDescent="0.25">
      <c r="A190" s="80" t="s">
        <v>567</v>
      </c>
      <c r="B190" s="8" t="s">
        <v>98</v>
      </c>
      <c r="C190" s="62" t="s">
        <v>34</v>
      </c>
    </row>
    <row r="191" spans="1:14" x14ac:dyDescent="0.25">
      <c r="A191" s="80" t="s">
        <v>566</v>
      </c>
      <c r="B191" s="8" t="s">
        <v>66</v>
      </c>
      <c r="C191" s="62" t="s">
        <v>33</v>
      </c>
    </row>
  </sheetData>
  <autoFilter ref="A1:K189" xr:uid="{00000000-0001-0000-0A00-000000000000}"/>
  <sortState xmlns:xlrd2="http://schemas.microsoft.com/office/spreadsheetml/2017/richdata2" ref="A2:G189">
    <sortCondition ref="A2:A189"/>
  </sortState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03"/>
  <sheetViews>
    <sheetView workbookViewId="0">
      <selection activeCell="S33" sqref="S33"/>
    </sheetView>
  </sheetViews>
  <sheetFormatPr defaultRowHeight="15" x14ac:dyDescent="0.25"/>
  <cols>
    <col min="1" max="1" width="5.7109375" bestFit="1" customWidth="1"/>
    <col min="4" max="4" width="11.85546875" bestFit="1" customWidth="1"/>
    <col min="6" max="6" width="46" bestFit="1" customWidth="1"/>
    <col min="7" max="7" width="2" bestFit="1" customWidth="1"/>
    <col min="8" max="8" width="7.28515625" bestFit="1" customWidth="1"/>
    <col min="9" max="9" width="6" bestFit="1" customWidth="1"/>
    <col min="10" max="10" width="11" bestFit="1" customWidth="1"/>
  </cols>
  <sheetData>
    <row r="1" spans="1:9" x14ac:dyDescent="0.25">
      <c r="A1" s="2" t="s">
        <v>43</v>
      </c>
      <c r="B1" s="2"/>
      <c r="C1" s="2"/>
      <c r="D1" s="2"/>
      <c r="F1" s="94" t="s">
        <v>447</v>
      </c>
    </row>
    <row r="3" spans="1:9" s="2" customFormat="1" x14ac:dyDescent="0.25">
      <c r="B3" s="3" t="s">
        <v>0</v>
      </c>
      <c r="D3" s="2" t="s">
        <v>1</v>
      </c>
      <c r="F3" s="3" t="s">
        <v>4</v>
      </c>
      <c r="G3" s="144" t="s">
        <v>6</v>
      </c>
      <c r="H3" s="144"/>
      <c r="I3" s="144"/>
    </row>
    <row r="4" spans="1:9" x14ac:dyDescent="0.25">
      <c r="A4">
        <v>1</v>
      </c>
      <c r="B4">
        <v>50</v>
      </c>
      <c r="F4" s="3" t="s">
        <v>5</v>
      </c>
      <c r="I4" s="2" t="s">
        <v>7</v>
      </c>
    </row>
    <row r="5" spans="1:9" x14ac:dyDescent="0.25">
      <c r="A5">
        <v>2</v>
      </c>
      <c r="B5">
        <v>45</v>
      </c>
      <c r="F5" s="1"/>
    </row>
    <row r="6" spans="1:9" x14ac:dyDescent="0.25">
      <c r="A6">
        <v>3</v>
      </c>
      <c r="B6">
        <v>41</v>
      </c>
      <c r="D6" s="1" t="s">
        <v>2</v>
      </c>
      <c r="F6" s="1" t="s">
        <v>2</v>
      </c>
      <c r="G6">
        <v>1</v>
      </c>
      <c r="H6" t="s">
        <v>61</v>
      </c>
      <c r="I6" s="4">
        <v>1</v>
      </c>
    </row>
    <row r="7" spans="1:9" x14ac:dyDescent="0.25">
      <c r="A7">
        <v>4</v>
      </c>
      <c r="B7">
        <v>38</v>
      </c>
      <c r="G7">
        <v>2</v>
      </c>
      <c r="H7" t="s">
        <v>60</v>
      </c>
      <c r="I7" s="4">
        <v>1.05</v>
      </c>
    </row>
    <row r="8" spans="1:9" x14ac:dyDescent="0.25">
      <c r="A8">
        <v>5</v>
      </c>
      <c r="B8">
        <v>36</v>
      </c>
      <c r="D8" t="s">
        <v>3</v>
      </c>
      <c r="F8" t="s">
        <v>32</v>
      </c>
      <c r="G8">
        <v>3</v>
      </c>
      <c r="H8" t="s">
        <v>60</v>
      </c>
      <c r="I8" s="4">
        <v>1.1000000000000001</v>
      </c>
    </row>
    <row r="9" spans="1:9" x14ac:dyDescent="0.25">
      <c r="A9">
        <v>6</v>
      </c>
      <c r="B9">
        <v>35</v>
      </c>
      <c r="D9" t="s">
        <v>10</v>
      </c>
      <c r="G9">
        <v>4</v>
      </c>
      <c r="H9" t="s">
        <v>60</v>
      </c>
      <c r="I9" s="4">
        <v>1.1499999999999999</v>
      </c>
    </row>
    <row r="10" spans="1:9" x14ac:dyDescent="0.25">
      <c r="A10">
        <v>7</v>
      </c>
      <c r="B10">
        <v>34</v>
      </c>
      <c r="G10">
        <v>5</v>
      </c>
      <c r="H10" t="s">
        <v>60</v>
      </c>
      <c r="I10" s="4">
        <v>1.2</v>
      </c>
    </row>
    <row r="11" spans="1:9" x14ac:dyDescent="0.25">
      <c r="A11">
        <v>8</v>
      </c>
      <c r="B11">
        <v>33</v>
      </c>
      <c r="G11">
        <v>6</v>
      </c>
      <c r="H11" t="s">
        <v>60</v>
      </c>
      <c r="I11" s="4">
        <v>1.25</v>
      </c>
    </row>
    <row r="12" spans="1:9" x14ac:dyDescent="0.25">
      <c r="A12">
        <v>9</v>
      </c>
      <c r="B12">
        <v>32</v>
      </c>
      <c r="G12">
        <v>7</v>
      </c>
      <c r="H12" t="s">
        <v>60</v>
      </c>
      <c r="I12" s="4">
        <v>1.3</v>
      </c>
    </row>
    <row r="13" spans="1:9" x14ac:dyDescent="0.25">
      <c r="A13">
        <v>10</v>
      </c>
      <c r="B13">
        <v>31</v>
      </c>
      <c r="G13">
        <v>8</v>
      </c>
      <c r="H13" t="s">
        <v>60</v>
      </c>
      <c r="I13" s="4">
        <v>1.35</v>
      </c>
    </row>
    <row r="14" spans="1:9" x14ac:dyDescent="0.25">
      <c r="A14">
        <v>11</v>
      </c>
      <c r="B14">
        <v>30</v>
      </c>
      <c r="G14">
        <v>9</v>
      </c>
      <c r="H14" t="s">
        <v>60</v>
      </c>
      <c r="I14" s="4">
        <v>1.4</v>
      </c>
    </row>
    <row r="15" spans="1:9" x14ac:dyDescent="0.25">
      <c r="A15">
        <v>12</v>
      </c>
      <c r="B15">
        <v>29</v>
      </c>
      <c r="I15" s="4"/>
    </row>
    <row r="16" spans="1:9" x14ac:dyDescent="0.25">
      <c r="A16">
        <v>13</v>
      </c>
      <c r="B16">
        <v>28</v>
      </c>
      <c r="I16" s="4"/>
    </row>
    <row r="17" spans="1:9" x14ac:dyDescent="0.25">
      <c r="A17">
        <v>14</v>
      </c>
      <c r="B17">
        <v>27</v>
      </c>
      <c r="I17" s="4"/>
    </row>
    <row r="18" spans="1:9" x14ac:dyDescent="0.25">
      <c r="A18">
        <v>15</v>
      </c>
      <c r="B18">
        <v>26</v>
      </c>
      <c r="I18" s="4"/>
    </row>
    <row r="19" spans="1:9" x14ac:dyDescent="0.25">
      <c r="A19">
        <v>16</v>
      </c>
      <c r="B19">
        <v>25</v>
      </c>
      <c r="I19" s="4"/>
    </row>
    <row r="20" spans="1:9" x14ac:dyDescent="0.25">
      <c r="A20">
        <v>17</v>
      </c>
      <c r="B20">
        <v>24</v>
      </c>
      <c r="I20" s="4"/>
    </row>
    <row r="21" spans="1:9" x14ac:dyDescent="0.25">
      <c r="A21">
        <v>18</v>
      </c>
      <c r="B21">
        <v>23</v>
      </c>
      <c r="I21" s="4"/>
    </row>
    <row r="22" spans="1:9" x14ac:dyDescent="0.25">
      <c r="A22">
        <v>19</v>
      </c>
      <c r="B22">
        <v>22</v>
      </c>
      <c r="I22" s="4"/>
    </row>
    <row r="23" spans="1:9" x14ac:dyDescent="0.25">
      <c r="A23">
        <v>20</v>
      </c>
      <c r="B23">
        <v>21</v>
      </c>
      <c r="I23" s="4"/>
    </row>
    <row r="24" spans="1:9" x14ac:dyDescent="0.25">
      <c r="A24">
        <v>21</v>
      </c>
      <c r="B24">
        <v>20</v>
      </c>
      <c r="I24" s="4"/>
    </row>
    <row r="25" spans="1:9" x14ac:dyDescent="0.25">
      <c r="A25">
        <v>22</v>
      </c>
      <c r="B25">
        <v>19</v>
      </c>
      <c r="I25" s="4"/>
    </row>
    <row r="26" spans="1:9" x14ac:dyDescent="0.25">
      <c r="A26">
        <v>23</v>
      </c>
      <c r="B26">
        <v>18</v>
      </c>
      <c r="I26" s="4"/>
    </row>
    <row r="27" spans="1:9" x14ac:dyDescent="0.25">
      <c r="A27">
        <v>24</v>
      </c>
      <c r="B27">
        <v>17</v>
      </c>
    </row>
    <row r="28" spans="1:9" x14ac:dyDescent="0.25">
      <c r="A28">
        <v>25</v>
      </c>
      <c r="B28">
        <v>16</v>
      </c>
    </row>
    <row r="29" spans="1:9" x14ac:dyDescent="0.25">
      <c r="A29">
        <v>26</v>
      </c>
      <c r="B29">
        <v>15</v>
      </c>
    </row>
    <row r="30" spans="1:9" x14ac:dyDescent="0.25">
      <c r="A30">
        <v>27</v>
      </c>
      <c r="B30">
        <v>14</v>
      </c>
    </row>
    <row r="31" spans="1:9" x14ac:dyDescent="0.25">
      <c r="A31">
        <v>28</v>
      </c>
      <c r="B31">
        <v>13</v>
      </c>
    </row>
    <row r="32" spans="1:9" x14ac:dyDescent="0.25">
      <c r="A32">
        <v>29</v>
      </c>
      <c r="B32">
        <v>12</v>
      </c>
    </row>
    <row r="33" spans="1:2" x14ac:dyDescent="0.25">
      <c r="A33">
        <v>30</v>
      </c>
      <c r="B33">
        <v>11</v>
      </c>
    </row>
    <row r="34" spans="1:2" x14ac:dyDescent="0.25">
      <c r="A34">
        <v>31</v>
      </c>
      <c r="B34">
        <v>10</v>
      </c>
    </row>
    <row r="35" spans="1:2" x14ac:dyDescent="0.25">
      <c r="A35">
        <v>32</v>
      </c>
      <c r="B35">
        <v>9</v>
      </c>
    </row>
    <row r="36" spans="1:2" x14ac:dyDescent="0.25">
      <c r="A36">
        <v>33</v>
      </c>
      <c r="B36">
        <v>8</v>
      </c>
    </row>
    <row r="37" spans="1:2" x14ac:dyDescent="0.25">
      <c r="A37">
        <v>34</v>
      </c>
      <c r="B37">
        <v>7</v>
      </c>
    </row>
    <row r="38" spans="1:2" x14ac:dyDescent="0.25">
      <c r="A38">
        <v>35</v>
      </c>
      <c r="B38">
        <v>6</v>
      </c>
    </row>
    <row r="39" spans="1:2" x14ac:dyDescent="0.25">
      <c r="A39">
        <v>36</v>
      </c>
      <c r="B39">
        <v>5</v>
      </c>
    </row>
    <row r="40" spans="1:2" x14ac:dyDescent="0.25">
      <c r="A40">
        <v>37</v>
      </c>
      <c r="B40">
        <v>4</v>
      </c>
    </row>
    <row r="41" spans="1:2" x14ac:dyDescent="0.25">
      <c r="A41">
        <v>38</v>
      </c>
      <c r="B41">
        <v>3</v>
      </c>
    </row>
    <row r="42" spans="1:2" x14ac:dyDescent="0.25">
      <c r="A42">
        <v>39</v>
      </c>
      <c r="B42">
        <v>2</v>
      </c>
    </row>
    <row r="43" spans="1:2" x14ac:dyDescent="0.25">
      <c r="A43">
        <v>40</v>
      </c>
      <c r="B43">
        <v>1</v>
      </c>
    </row>
    <row r="44" spans="1:2" x14ac:dyDescent="0.25">
      <c r="A44">
        <v>41</v>
      </c>
      <c r="B44">
        <v>0.5</v>
      </c>
    </row>
    <row r="45" spans="1:2" x14ac:dyDescent="0.25">
      <c r="A45">
        <v>42</v>
      </c>
      <c r="B45">
        <v>0.5</v>
      </c>
    </row>
    <row r="46" spans="1:2" x14ac:dyDescent="0.25">
      <c r="A46">
        <v>43</v>
      </c>
      <c r="B46">
        <v>0.5</v>
      </c>
    </row>
    <row r="47" spans="1:2" x14ac:dyDescent="0.25">
      <c r="A47">
        <v>44</v>
      </c>
      <c r="B47">
        <v>0.5</v>
      </c>
    </row>
    <row r="48" spans="1:2" x14ac:dyDescent="0.25">
      <c r="A48">
        <v>45</v>
      </c>
      <c r="B48">
        <v>0.5</v>
      </c>
    </row>
    <row r="49" spans="1:2" x14ac:dyDescent="0.25">
      <c r="A49">
        <v>46</v>
      </c>
      <c r="B49">
        <v>0.5</v>
      </c>
    </row>
    <row r="50" spans="1:2" x14ac:dyDescent="0.25">
      <c r="A50">
        <v>47</v>
      </c>
      <c r="B50">
        <v>0.5</v>
      </c>
    </row>
    <row r="51" spans="1:2" x14ac:dyDescent="0.25">
      <c r="A51">
        <v>48</v>
      </c>
      <c r="B51">
        <v>0.5</v>
      </c>
    </row>
    <row r="52" spans="1:2" x14ac:dyDescent="0.25">
      <c r="A52">
        <v>49</v>
      </c>
      <c r="B52">
        <v>0.5</v>
      </c>
    </row>
    <row r="53" spans="1:2" x14ac:dyDescent="0.25">
      <c r="A53">
        <v>50</v>
      </c>
      <c r="B53">
        <v>0.5</v>
      </c>
    </row>
    <row r="54" spans="1:2" x14ac:dyDescent="0.25">
      <c r="A54">
        <v>51</v>
      </c>
      <c r="B54">
        <v>0.5</v>
      </c>
    </row>
    <row r="55" spans="1:2" x14ac:dyDescent="0.25">
      <c r="A55">
        <v>52</v>
      </c>
      <c r="B55">
        <v>0.5</v>
      </c>
    </row>
    <row r="56" spans="1:2" x14ac:dyDescent="0.25">
      <c r="A56">
        <v>53</v>
      </c>
      <c r="B56">
        <v>0.5</v>
      </c>
    </row>
    <row r="57" spans="1:2" x14ac:dyDescent="0.25">
      <c r="A57">
        <v>54</v>
      </c>
      <c r="B57">
        <v>0.5</v>
      </c>
    </row>
    <row r="58" spans="1:2" x14ac:dyDescent="0.25">
      <c r="A58">
        <v>55</v>
      </c>
      <c r="B58">
        <v>0.5</v>
      </c>
    </row>
    <row r="59" spans="1:2" x14ac:dyDescent="0.25">
      <c r="A59">
        <v>56</v>
      </c>
      <c r="B59">
        <v>0.5</v>
      </c>
    </row>
    <row r="60" spans="1:2" x14ac:dyDescent="0.25">
      <c r="A60">
        <v>57</v>
      </c>
      <c r="B60">
        <v>0.5</v>
      </c>
    </row>
    <row r="61" spans="1:2" x14ac:dyDescent="0.25">
      <c r="A61">
        <v>58</v>
      </c>
      <c r="B61">
        <v>0.5</v>
      </c>
    </row>
    <row r="62" spans="1:2" x14ac:dyDescent="0.25">
      <c r="A62">
        <v>59</v>
      </c>
      <c r="B62">
        <v>0.5</v>
      </c>
    </row>
    <row r="63" spans="1:2" x14ac:dyDescent="0.25">
      <c r="A63">
        <v>60</v>
      </c>
      <c r="B63">
        <v>0.5</v>
      </c>
    </row>
    <row r="64" spans="1:2" x14ac:dyDescent="0.25">
      <c r="A64">
        <v>61</v>
      </c>
      <c r="B64">
        <v>0.5</v>
      </c>
    </row>
    <row r="65" spans="1:2" x14ac:dyDescent="0.25">
      <c r="A65">
        <v>62</v>
      </c>
      <c r="B65">
        <v>0.5</v>
      </c>
    </row>
    <row r="66" spans="1:2" x14ac:dyDescent="0.25">
      <c r="A66">
        <v>63</v>
      </c>
      <c r="B66">
        <v>0.5</v>
      </c>
    </row>
    <row r="67" spans="1:2" x14ac:dyDescent="0.25">
      <c r="A67">
        <v>64</v>
      </c>
      <c r="B67">
        <v>0.5</v>
      </c>
    </row>
    <row r="68" spans="1:2" x14ac:dyDescent="0.25">
      <c r="A68">
        <v>65</v>
      </c>
      <c r="B68">
        <v>0.5</v>
      </c>
    </row>
    <row r="69" spans="1:2" x14ac:dyDescent="0.25">
      <c r="A69">
        <v>66</v>
      </c>
      <c r="B69">
        <v>0.5</v>
      </c>
    </row>
    <row r="70" spans="1:2" x14ac:dyDescent="0.25">
      <c r="A70">
        <v>67</v>
      </c>
      <c r="B70">
        <v>0.5</v>
      </c>
    </row>
    <row r="71" spans="1:2" x14ac:dyDescent="0.25">
      <c r="A71">
        <v>68</v>
      </c>
      <c r="B71">
        <v>0.5</v>
      </c>
    </row>
    <row r="72" spans="1:2" x14ac:dyDescent="0.25">
      <c r="A72">
        <v>69</v>
      </c>
      <c r="B72">
        <v>0.5</v>
      </c>
    </row>
    <row r="73" spans="1:2" x14ac:dyDescent="0.25">
      <c r="A73">
        <v>70</v>
      </c>
      <c r="B73">
        <v>0.5</v>
      </c>
    </row>
    <row r="74" spans="1:2" x14ac:dyDescent="0.25">
      <c r="A74">
        <v>71</v>
      </c>
      <c r="B74">
        <v>0.5</v>
      </c>
    </row>
    <row r="75" spans="1:2" x14ac:dyDescent="0.25">
      <c r="A75">
        <v>72</v>
      </c>
      <c r="B75">
        <v>0.5</v>
      </c>
    </row>
    <row r="76" spans="1:2" x14ac:dyDescent="0.25">
      <c r="A76">
        <v>73</v>
      </c>
      <c r="B76">
        <v>0.5</v>
      </c>
    </row>
    <row r="77" spans="1:2" x14ac:dyDescent="0.25">
      <c r="A77">
        <v>74</v>
      </c>
      <c r="B77">
        <v>0.5</v>
      </c>
    </row>
    <row r="78" spans="1:2" x14ac:dyDescent="0.25">
      <c r="A78">
        <v>75</v>
      </c>
      <c r="B78">
        <v>0.5</v>
      </c>
    </row>
    <row r="79" spans="1:2" x14ac:dyDescent="0.25">
      <c r="A79">
        <v>76</v>
      </c>
      <c r="B79">
        <v>0.5</v>
      </c>
    </row>
    <row r="80" spans="1:2" x14ac:dyDescent="0.25">
      <c r="A80">
        <v>77</v>
      </c>
      <c r="B80">
        <v>0.5</v>
      </c>
    </row>
    <row r="81" spans="1:2" x14ac:dyDescent="0.25">
      <c r="A81">
        <v>78</v>
      </c>
      <c r="B81">
        <v>0.5</v>
      </c>
    </row>
    <row r="82" spans="1:2" x14ac:dyDescent="0.25">
      <c r="A82">
        <v>79</v>
      </c>
      <c r="B82">
        <v>0.5</v>
      </c>
    </row>
    <row r="83" spans="1:2" x14ac:dyDescent="0.25">
      <c r="A83">
        <v>80</v>
      </c>
      <c r="B83">
        <v>0.5</v>
      </c>
    </row>
    <row r="84" spans="1:2" x14ac:dyDescent="0.25">
      <c r="A84">
        <v>81</v>
      </c>
      <c r="B84">
        <v>0.5</v>
      </c>
    </row>
    <row r="85" spans="1:2" x14ac:dyDescent="0.25">
      <c r="A85">
        <v>82</v>
      </c>
      <c r="B85">
        <v>0.5</v>
      </c>
    </row>
    <row r="86" spans="1:2" x14ac:dyDescent="0.25">
      <c r="A86">
        <v>83</v>
      </c>
      <c r="B86">
        <v>0.5</v>
      </c>
    </row>
    <row r="87" spans="1:2" x14ac:dyDescent="0.25">
      <c r="A87">
        <v>84</v>
      </c>
      <c r="B87">
        <v>0.5</v>
      </c>
    </row>
    <row r="88" spans="1:2" x14ac:dyDescent="0.25">
      <c r="A88">
        <v>85</v>
      </c>
      <c r="B88">
        <v>0.5</v>
      </c>
    </row>
    <row r="89" spans="1:2" x14ac:dyDescent="0.25">
      <c r="A89">
        <v>86</v>
      </c>
      <c r="B89">
        <v>0.5</v>
      </c>
    </row>
    <row r="90" spans="1:2" x14ac:dyDescent="0.25">
      <c r="A90">
        <v>87</v>
      </c>
      <c r="B90">
        <v>0.5</v>
      </c>
    </row>
    <row r="91" spans="1:2" x14ac:dyDescent="0.25">
      <c r="A91">
        <v>88</v>
      </c>
      <c r="B91">
        <v>0.5</v>
      </c>
    </row>
    <row r="92" spans="1:2" x14ac:dyDescent="0.25">
      <c r="A92">
        <v>89</v>
      </c>
      <c r="B92">
        <v>0.5</v>
      </c>
    </row>
    <row r="93" spans="1:2" x14ac:dyDescent="0.25">
      <c r="A93">
        <v>90</v>
      </c>
      <c r="B93">
        <v>0.5</v>
      </c>
    </row>
    <row r="94" spans="1:2" x14ac:dyDescent="0.25">
      <c r="A94">
        <v>91</v>
      </c>
      <c r="B94">
        <v>0.5</v>
      </c>
    </row>
    <row r="95" spans="1:2" x14ac:dyDescent="0.25">
      <c r="A95">
        <v>92</v>
      </c>
      <c r="B95">
        <v>0.5</v>
      </c>
    </row>
    <row r="96" spans="1:2" x14ac:dyDescent="0.25">
      <c r="A96">
        <v>93</v>
      </c>
      <c r="B96">
        <v>0.5</v>
      </c>
    </row>
    <row r="97" spans="1:2" x14ac:dyDescent="0.25">
      <c r="A97">
        <v>94</v>
      </c>
      <c r="B97">
        <v>0.5</v>
      </c>
    </row>
    <row r="98" spans="1:2" x14ac:dyDescent="0.25">
      <c r="A98">
        <v>95</v>
      </c>
      <c r="B98">
        <v>0.5</v>
      </c>
    </row>
    <row r="99" spans="1:2" x14ac:dyDescent="0.25">
      <c r="A99">
        <v>96</v>
      </c>
      <c r="B99">
        <v>0.5</v>
      </c>
    </row>
    <row r="100" spans="1:2" x14ac:dyDescent="0.25">
      <c r="A100">
        <v>97</v>
      </c>
      <c r="B100">
        <v>0.5</v>
      </c>
    </row>
    <row r="101" spans="1:2" x14ac:dyDescent="0.25">
      <c r="A101">
        <v>98</v>
      </c>
      <c r="B101">
        <v>0.5</v>
      </c>
    </row>
    <row r="102" spans="1:2" x14ac:dyDescent="0.25">
      <c r="A102">
        <v>99</v>
      </c>
      <c r="B102">
        <v>0.5</v>
      </c>
    </row>
    <row r="103" spans="1:2" x14ac:dyDescent="0.25">
      <c r="A103">
        <v>100</v>
      </c>
      <c r="B103">
        <v>0.5</v>
      </c>
    </row>
  </sheetData>
  <mergeCells count="1">
    <mergeCell ref="G3:I3"/>
  </mergeCells>
  <hyperlinks>
    <hyperlink ref="F1" r:id="rId1" xr:uid="{F439C97D-B885-4503-8404-2649135C19B1}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V78"/>
  <sheetViews>
    <sheetView workbookViewId="0">
      <selection activeCell="Y28" sqref="Y28"/>
    </sheetView>
  </sheetViews>
  <sheetFormatPr defaultRowHeight="15" x14ac:dyDescent="0.25"/>
  <cols>
    <col min="1" max="1" width="25" bestFit="1" customWidth="1"/>
    <col min="2" max="2" width="13" bestFit="1" customWidth="1"/>
    <col min="3" max="3" width="9.140625" style="12" bestFit="1" customWidth="1"/>
    <col min="4" max="4" width="13.5703125" bestFit="1" customWidth="1"/>
    <col min="5" max="5" width="16.7109375" bestFit="1" customWidth="1"/>
    <col min="6" max="6" width="5.7109375" bestFit="1" customWidth="1"/>
    <col min="7" max="7" width="3.140625" customWidth="1"/>
    <col min="8" max="8" width="8.28515625" bestFit="1" customWidth="1"/>
    <col min="9" max="9" width="6" bestFit="1" customWidth="1"/>
    <col min="10" max="10" width="10.5703125" bestFit="1" customWidth="1"/>
    <col min="11" max="11" width="2.28515625" customWidth="1"/>
    <col min="12" max="13" width="5.7109375" bestFit="1" customWidth="1"/>
    <col min="16" max="16" width="9.5703125" style="6" bestFit="1" customWidth="1"/>
    <col min="17" max="17" width="3.7109375" customWidth="1"/>
    <col min="18" max="18" width="8" bestFit="1" customWidth="1"/>
    <col min="19" max="19" width="4.7109375" customWidth="1"/>
    <col min="20" max="20" width="27.140625" style="4" bestFit="1" customWidth="1"/>
  </cols>
  <sheetData>
    <row r="1" spans="1:22" ht="15.6" x14ac:dyDescent="0.25">
      <c r="A1" t="s">
        <v>47</v>
      </c>
      <c r="H1" s="141" t="s">
        <v>64</v>
      </c>
      <c r="I1" s="141"/>
      <c r="J1" s="141"/>
      <c r="K1" s="141"/>
      <c r="L1" s="141"/>
      <c r="M1" s="141"/>
      <c r="N1" s="141"/>
      <c r="O1" s="141"/>
      <c r="P1" s="141"/>
      <c r="T1" t="s">
        <v>66</v>
      </c>
      <c r="U1">
        <v>515.28</v>
      </c>
      <c r="V1">
        <v>15</v>
      </c>
    </row>
    <row r="2" spans="1:22" ht="14.25" x14ac:dyDescent="0.25">
      <c r="A2" t="s">
        <v>48</v>
      </c>
      <c r="E2" s="35">
        <v>44997</v>
      </c>
      <c r="K2" s="11"/>
      <c r="T2" t="s">
        <v>99</v>
      </c>
      <c r="U2">
        <v>369.24</v>
      </c>
      <c r="V2">
        <v>12</v>
      </c>
    </row>
    <row r="3" spans="1:22" ht="14.25" x14ac:dyDescent="0.25">
      <c r="A3" t="s">
        <v>65</v>
      </c>
      <c r="E3" s="35" t="s">
        <v>66</v>
      </c>
      <c r="K3" s="11"/>
      <c r="T3" t="s">
        <v>98</v>
      </c>
      <c r="U3">
        <v>297.58999999999997</v>
      </c>
      <c r="V3">
        <v>10</v>
      </c>
    </row>
    <row r="4" spans="1:22" ht="14.25" x14ac:dyDescent="0.25">
      <c r="A4" t="s">
        <v>52</v>
      </c>
      <c r="E4" s="1" t="s">
        <v>49</v>
      </c>
      <c r="K4" s="11"/>
      <c r="T4" t="s">
        <v>68</v>
      </c>
      <c r="U4">
        <v>220.44</v>
      </c>
      <c r="V4">
        <v>8</v>
      </c>
    </row>
    <row r="5" spans="1:22" x14ac:dyDescent="0.25">
      <c r="A5" t="s">
        <v>50</v>
      </c>
      <c r="E5" s="1">
        <v>65</v>
      </c>
      <c r="K5" s="11"/>
      <c r="T5" t="s">
        <v>376</v>
      </c>
      <c r="U5">
        <v>126.75</v>
      </c>
      <c r="V5">
        <v>7</v>
      </c>
    </row>
    <row r="6" spans="1:22" x14ac:dyDescent="0.25">
      <c r="A6" t="s">
        <v>51</v>
      </c>
      <c r="E6" s="1">
        <v>67</v>
      </c>
      <c r="K6" s="11"/>
      <c r="T6" t="s">
        <v>100</v>
      </c>
      <c r="U6">
        <v>112.98</v>
      </c>
      <c r="V6">
        <v>6</v>
      </c>
    </row>
    <row r="7" spans="1:22" x14ac:dyDescent="0.25">
      <c r="J7" s="11"/>
      <c r="K7" s="11"/>
      <c r="T7" t="s">
        <v>172</v>
      </c>
      <c r="U7">
        <v>2.76</v>
      </c>
      <c r="V7">
        <v>5</v>
      </c>
    </row>
    <row r="8" spans="1:22" x14ac:dyDescent="0.25">
      <c r="A8" s="36" t="s">
        <v>44</v>
      </c>
      <c r="B8" s="96" t="s">
        <v>483</v>
      </c>
      <c r="C8" s="74" t="s">
        <v>46</v>
      </c>
      <c r="D8" s="18" t="s">
        <v>55</v>
      </c>
      <c r="E8" s="18" t="s">
        <v>56</v>
      </c>
      <c r="F8" s="19" t="s">
        <v>57</v>
      </c>
      <c r="H8" s="142" t="s">
        <v>53</v>
      </c>
      <c r="I8" s="140"/>
      <c r="J8" s="143"/>
      <c r="K8" s="2"/>
      <c r="L8" s="27" t="s">
        <v>54</v>
      </c>
      <c r="M8" s="30"/>
      <c r="N8" s="140" t="s">
        <v>8</v>
      </c>
      <c r="O8" s="140"/>
      <c r="P8" s="31"/>
      <c r="T8"/>
    </row>
    <row r="9" spans="1:22" s="2" customFormat="1" x14ac:dyDescent="0.25">
      <c r="C9" s="7"/>
      <c r="H9" s="20" t="s">
        <v>36</v>
      </c>
      <c r="I9" s="21" t="s">
        <v>38</v>
      </c>
      <c r="J9" s="22" t="s">
        <v>0</v>
      </c>
      <c r="K9" s="7"/>
      <c r="L9" s="28"/>
      <c r="M9" s="32" t="s">
        <v>0</v>
      </c>
      <c r="N9" s="21" t="s">
        <v>9</v>
      </c>
      <c r="O9" s="21" t="s">
        <v>5</v>
      </c>
      <c r="P9" s="33" t="s">
        <v>11</v>
      </c>
      <c r="T9"/>
      <c r="U9"/>
      <c r="V9"/>
    </row>
    <row r="10" spans="1:22" s="2" customFormat="1" x14ac:dyDescent="0.25">
      <c r="C10" s="7"/>
      <c r="G10" s="3"/>
      <c r="H10" s="23" t="s">
        <v>37</v>
      </c>
      <c r="I10" s="24"/>
      <c r="J10" s="25" t="s">
        <v>39</v>
      </c>
      <c r="K10" s="6"/>
      <c r="L10" s="29"/>
      <c r="M10" s="34"/>
      <c r="N10" s="24"/>
      <c r="O10" s="24"/>
      <c r="P10" s="25"/>
      <c r="T10"/>
      <c r="U10"/>
    </row>
    <row r="11" spans="1:22" s="2" customFormat="1" ht="14.25" x14ac:dyDescent="0.25">
      <c r="C11" s="7"/>
      <c r="H11" s="3"/>
      <c r="I11" s="26"/>
      <c r="J11" s="26"/>
      <c r="K11" s="6"/>
      <c r="P11" s="6"/>
      <c r="R11" s="3" t="s">
        <v>169</v>
      </c>
      <c r="T11" s="6"/>
    </row>
    <row r="12" spans="1:22" x14ac:dyDescent="0.25">
      <c r="A12" s="8" t="s">
        <v>21</v>
      </c>
      <c r="B12" s="12" t="str">
        <f>VLOOKUP(A12,concorrenti!A:B,2,1)</f>
        <v>CAVEM</v>
      </c>
      <c r="C12" s="76">
        <f>VLOOKUP(A12,concorrenti!A:E,5,0)</f>
        <v>0</v>
      </c>
      <c r="D12" t="s">
        <v>121</v>
      </c>
      <c r="E12" t="s">
        <v>122</v>
      </c>
      <c r="F12">
        <v>1972</v>
      </c>
      <c r="G12" s="8"/>
      <c r="H12">
        <v>236</v>
      </c>
      <c r="I12" s="4">
        <f t="shared" ref="I12:I43" si="0">IF(C12&lt;&gt;0,((1+RIGHT(F12,2)/100)-0.1),(1+RIGHT(F12,2)/100))</f>
        <v>1.72</v>
      </c>
      <c r="J12" s="4">
        <f t="shared" ref="J12:J43" si="1">+H12*I12</f>
        <v>405.92</v>
      </c>
      <c r="K12" s="4"/>
      <c r="L12">
        <v>1</v>
      </c>
      <c r="M12">
        <f>VLOOKUP(L12,Regolamento!A:B,2,0)</f>
        <v>50</v>
      </c>
      <c r="N12" s="4">
        <f t="shared" ref="N12:N57" si="2">1+E$5/100</f>
        <v>1.65</v>
      </c>
      <c r="O12" s="4">
        <f t="shared" ref="O12:O57" si="3">1+E$6/100</f>
        <v>1.67</v>
      </c>
      <c r="P12" s="6">
        <f>+M12*N12*O12</f>
        <v>137.77500000000001</v>
      </c>
      <c r="R12" s="6">
        <f t="shared" ref="R12:R57" si="4">+H12/E$5</f>
        <v>3.6307692307692307</v>
      </c>
      <c r="T12" s="6"/>
      <c r="U12" s="63"/>
    </row>
    <row r="13" spans="1:22" x14ac:dyDescent="0.25">
      <c r="A13" s="8" t="s">
        <v>22</v>
      </c>
      <c r="B13" s="12" t="str">
        <f>VLOOKUP(A13,concorrenti!A:B,2,1)</f>
        <v>VAMS</v>
      </c>
      <c r="C13" s="76">
        <f>VLOOKUP(A13,concorrenti!A:E,5,0)</f>
        <v>0</v>
      </c>
      <c r="D13" t="s">
        <v>121</v>
      </c>
      <c r="E13" t="s">
        <v>123</v>
      </c>
      <c r="F13">
        <v>1937</v>
      </c>
      <c r="H13">
        <v>320</v>
      </c>
      <c r="I13" s="4">
        <f t="shared" si="0"/>
        <v>1.37</v>
      </c>
      <c r="J13" s="4">
        <f t="shared" si="1"/>
        <v>438.40000000000003</v>
      </c>
      <c r="K13" s="4"/>
      <c r="L13">
        <v>2</v>
      </c>
      <c r="M13">
        <f>VLOOKUP(L13,Regolamento!A:B,2,0)</f>
        <v>45</v>
      </c>
      <c r="N13" s="4">
        <f t="shared" si="2"/>
        <v>1.65</v>
      </c>
      <c r="O13" s="4">
        <f t="shared" si="3"/>
        <v>1.67</v>
      </c>
      <c r="P13" s="6">
        <f t="shared" ref="P13:P41" si="5">+M13*N13*O13</f>
        <v>123.99749999999999</v>
      </c>
      <c r="R13" s="6">
        <f t="shared" si="4"/>
        <v>4.9230769230769234</v>
      </c>
      <c r="T13" s="6"/>
      <c r="U13" s="63"/>
    </row>
    <row r="14" spans="1:22" x14ac:dyDescent="0.25">
      <c r="A14" s="8" t="s">
        <v>27</v>
      </c>
      <c r="B14" s="12" t="str">
        <f>VLOOKUP(A14,concorrenti!A:B,2,1)</f>
        <v>VAMS</v>
      </c>
      <c r="C14" s="76">
        <f>VLOOKUP(A14,concorrenti!A:E,5,0)</f>
        <v>0</v>
      </c>
      <c r="D14" t="s">
        <v>124</v>
      </c>
      <c r="E14" t="s">
        <v>125</v>
      </c>
      <c r="F14">
        <v>1980</v>
      </c>
      <c r="H14">
        <v>249</v>
      </c>
      <c r="I14" s="4">
        <f t="shared" si="0"/>
        <v>1.8</v>
      </c>
      <c r="J14" s="4">
        <f t="shared" si="1"/>
        <v>448.2</v>
      </c>
      <c r="K14" s="4"/>
      <c r="L14">
        <v>3</v>
      </c>
      <c r="M14">
        <f>VLOOKUP(L14,Regolamento!A:B,2,0)</f>
        <v>41</v>
      </c>
      <c r="N14" s="4">
        <f t="shared" si="2"/>
        <v>1.65</v>
      </c>
      <c r="O14" s="4">
        <f t="shared" si="3"/>
        <v>1.67</v>
      </c>
      <c r="P14" s="15">
        <f t="shared" si="5"/>
        <v>112.97549999999998</v>
      </c>
      <c r="Q14" t="s">
        <v>7</v>
      </c>
      <c r="R14" s="6">
        <f t="shared" si="4"/>
        <v>3.8307692307692309</v>
      </c>
      <c r="T14" s="15"/>
      <c r="U14" s="63"/>
    </row>
    <row r="15" spans="1:22" x14ac:dyDescent="0.25">
      <c r="A15" s="9" t="s">
        <v>15</v>
      </c>
      <c r="B15" s="12" t="str">
        <f>VLOOKUP(A15,concorrenti!A:B,2,1)</f>
        <v>OROBICO</v>
      </c>
      <c r="C15" s="76">
        <f>VLOOKUP(A15,concorrenti!A:E,5,0)</f>
        <v>0</v>
      </c>
      <c r="D15" t="s">
        <v>126</v>
      </c>
      <c r="E15" t="s">
        <v>127</v>
      </c>
      <c r="F15">
        <v>1963</v>
      </c>
      <c r="G15" s="8"/>
      <c r="H15">
        <v>299</v>
      </c>
      <c r="I15" s="4">
        <f t="shared" si="0"/>
        <v>1.63</v>
      </c>
      <c r="J15" s="4">
        <f t="shared" si="1"/>
        <v>487.36999999999995</v>
      </c>
      <c r="K15" s="4"/>
      <c r="L15">
        <v>4</v>
      </c>
      <c r="M15">
        <f>VLOOKUP(L15,Regolamento!A:B,2,0)</f>
        <v>38</v>
      </c>
      <c r="N15" s="4">
        <f t="shared" si="2"/>
        <v>1.65</v>
      </c>
      <c r="O15" s="4">
        <f t="shared" si="3"/>
        <v>1.67</v>
      </c>
      <c r="P15" s="15">
        <f t="shared" si="5"/>
        <v>104.70899999999999</v>
      </c>
      <c r="R15" s="6">
        <f t="shared" si="4"/>
        <v>4.5999999999999996</v>
      </c>
      <c r="T15" s="15"/>
      <c r="U15" s="63"/>
    </row>
    <row r="16" spans="1:22" x14ac:dyDescent="0.25">
      <c r="A16" s="8" t="s">
        <v>69</v>
      </c>
      <c r="B16" s="12" t="str">
        <f>VLOOKUP(A16,concorrenti!A:B,2,1)</f>
        <v>CASTELLOTTI</v>
      </c>
      <c r="C16" s="76">
        <f>VLOOKUP(A16,concorrenti!A:E,5,0)</f>
        <v>0</v>
      </c>
      <c r="D16" t="s">
        <v>121</v>
      </c>
      <c r="E16" t="s">
        <v>130</v>
      </c>
      <c r="F16">
        <v>1974</v>
      </c>
      <c r="G16" s="8"/>
      <c r="H16">
        <v>321</v>
      </c>
      <c r="I16" s="4">
        <f t="shared" si="0"/>
        <v>1.74</v>
      </c>
      <c r="J16" s="4">
        <f t="shared" si="1"/>
        <v>558.54</v>
      </c>
      <c r="K16" s="4"/>
      <c r="L16">
        <v>5</v>
      </c>
      <c r="M16">
        <f>VLOOKUP(L16,Regolamento!A:B,2,0)</f>
        <v>36</v>
      </c>
      <c r="N16" s="4">
        <f t="shared" si="2"/>
        <v>1.65</v>
      </c>
      <c r="O16" s="4">
        <f t="shared" si="3"/>
        <v>1.67</v>
      </c>
      <c r="P16" s="15">
        <f t="shared" si="5"/>
        <v>99.197999999999993</v>
      </c>
      <c r="R16" s="6">
        <f t="shared" si="4"/>
        <v>4.9384615384615387</v>
      </c>
      <c r="T16" s="15"/>
      <c r="U16" s="63"/>
    </row>
    <row r="17" spans="1:21" x14ac:dyDescent="0.25">
      <c r="A17" s="8" t="s">
        <v>14</v>
      </c>
      <c r="B17" s="12" t="str">
        <f>VLOOKUP(A17,concorrenti!A:B,2,1)</f>
        <v>VAMS</v>
      </c>
      <c r="C17" s="76">
        <f>VLOOKUP(A17,concorrenti!A:E,5,0)</f>
        <v>0</v>
      </c>
      <c r="D17" t="s">
        <v>131</v>
      </c>
      <c r="E17" t="s">
        <v>132</v>
      </c>
      <c r="F17">
        <v>1971</v>
      </c>
      <c r="H17">
        <v>328</v>
      </c>
      <c r="I17" s="4">
        <f t="shared" si="0"/>
        <v>1.71</v>
      </c>
      <c r="J17" s="4">
        <f t="shared" si="1"/>
        <v>560.88</v>
      </c>
      <c r="K17" s="4"/>
      <c r="L17">
        <v>6</v>
      </c>
      <c r="M17">
        <f>VLOOKUP(L17,Regolamento!A:B,2,0)</f>
        <v>35</v>
      </c>
      <c r="N17" s="4">
        <f t="shared" si="2"/>
        <v>1.65</v>
      </c>
      <c r="O17" s="4">
        <f t="shared" si="3"/>
        <v>1.67</v>
      </c>
      <c r="P17" s="15">
        <f t="shared" si="5"/>
        <v>96.442499999999995</v>
      </c>
      <c r="R17" s="6">
        <f t="shared" si="4"/>
        <v>5.046153846153846</v>
      </c>
      <c r="T17" s="15"/>
      <c r="U17" s="63"/>
    </row>
    <row r="18" spans="1:21" x14ac:dyDescent="0.25">
      <c r="A18" s="8" t="s">
        <v>12</v>
      </c>
      <c r="B18" s="12" t="str">
        <f>VLOOKUP(A18,concorrenti!A:B,2,1)</f>
        <v>VAMS</v>
      </c>
      <c r="C18" s="76">
        <f>VLOOKUP(A18,concorrenti!A:E,5,0)</f>
        <v>0</v>
      </c>
      <c r="D18" t="s">
        <v>128</v>
      </c>
      <c r="E18" t="s">
        <v>129</v>
      </c>
      <c r="F18">
        <v>1960</v>
      </c>
      <c r="H18">
        <v>367</v>
      </c>
      <c r="I18" s="4">
        <f t="shared" si="0"/>
        <v>1.6</v>
      </c>
      <c r="J18" s="4">
        <f t="shared" si="1"/>
        <v>587.20000000000005</v>
      </c>
      <c r="K18" s="4"/>
      <c r="L18">
        <v>7</v>
      </c>
      <c r="M18">
        <f>VLOOKUP(L18,Regolamento!A:B,2,0)</f>
        <v>34</v>
      </c>
      <c r="N18" s="4">
        <f t="shared" si="2"/>
        <v>1.65</v>
      </c>
      <c r="O18" s="4">
        <f t="shared" si="3"/>
        <v>1.67</v>
      </c>
      <c r="P18" s="15">
        <f t="shared" si="5"/>
        <v>93.686999999999983</v>
      </c>
      <c r="R18" s="6">
        <f t="shared" si="4"/>
        <v>5.6461538461538465</v>
      </c>
      <c r="T18" s="15"/>
      <c r="U18" s="63"/>
    </row>
    <row r="19" spans="1:21" x14ac:dyDescent="0.25">
      <c r="A19" s="8" t="s">
        <v>23</v>
      </c>
      <c r="B19" s="12" t="str">
        <f>VLOOKUP(A19,concorrenti!A:B,2,1)</f>
        <v>CASTELLOTTI</v>
      </c>
      <c r="C19" s="76">
        <f>VLOOKUP(A19,concorrenti!A:E,5,0)</f>
        <v>0</v>
      </c>
      <c r="D19" t="s">
        <v>124</v>
      </c>
      <c r="E19" t="s">
        <v>125</v>
      </c>
      <c r="F19">
        <v>1976</v>
      </c>
      <c r="G19" s="8"/>
      <c r="H19">
        <v>351</v>
      </c>
      <c r="I19" s="4">
        <f t="shared" si="0"/>
        <v>1.76</v>
      </c>
      <c r="J19" s="4">
        <f t="shared" si="1"/>
        <v>617.76</v>
      </c>
      <c r="K19" s="4"/>
      <c r="L19">
        <v>8</v>
      </c>
      <c r="M19">
        <f>VLOOKUP(L19,Regolamento!A:B,2,0)</f>
        <v>33</v>
      </c>
      <c r="N19" s="4">
        <f t="shared" si="2"/>
        <v>1.65</v>
      </c>
      <c r="O19" s="4">
        <f t="shared" si="3"/>
        <v>1.67</v>
      </c>
      <c r="P19" s="15">
        <f t="shared" si="5"/>
        <v>90.931499999999986</v>
      </c>
      <c r="R19" s="6">
        <f t="shared" si="4"/>
        <v>5.4</v>
      </c>
      <c r="T19" s="15"/>
      <c r="U19" s="63"/>
    </row>
    <row r="20" spans="1:21" x14ac:dyDescent="0.25">
      <c r="A20" s="8" t="s">
        <v>72</v>
      </c>
      <c r="B20" s="12" t="str">
        <f>VLOOKUP(A20,concorrenti!A:B,2,1)</f>
        <v>VAMS</v>
      </c>
      <c r="C20" s="76" t="str">
        <f>VLOOKUP(A20,concorrenti!A:E,5,0)</f>
        <v>X</v>
      </c>
      <c r="D20" t="s">
        <v>134</v>
      </c>
      <c r="E20" t="s">
        <v>135</v>
      </c>
      <c r="F20">
        <v>1938</v>
      </c>
      <c r="H20">
        <v>513</v>
      </c>
      <c r="I20" s="4">
        <f t="shared" si="0"/>
        <v>1.2799999999999998</v>
      </c>
      <c r="J20" s="4">
        <f t="shared" si="1"/>
        <v>656.63999999999987</v>
      </c>
      <c r="K20" s="4"/>
      <c r="L20">
        <v>9</v>
      </c>
      <c r="M20">
        <f>VLOOKUP(L20,Regolamento!A:B,2,0)</f>
        <v>32</v>
      </c>
      <c r="N20" s="4">
        <f t="shared" si="2"/>
        <v>1.65</v>
      </c>
      <c r="O20" s="4">
        <f t="shared" si="3"/>
        <v>1.67</v>
      </c>
      <c r="P20" s="15">
        <f t="shared" si="5"/>
        <v>88.175999999999988</v>
      </c>
      <c r="R20" s="6">
        <f t="shared" si="4"/>
        <v>7.8923076923076927</v>
      </c>
      <c r="T20" s="15"/>
      <c r="U20" s="63"/>
    </row>
    <row r="21" spans="1:21" x14ac:dyDescent="0.25">
      <c r="A21" s="8" t="s">
        <v>17</v>
      </c>
      <c r="B21" s="12" t="str">
        <f>VLOOKUP(A21,concorrenti!A:B,2,1)</f>
        <v>VAMS</v>
      </c>
      <c r="C21" s="76">
        <f>VLOOKUP(A21,concorrenti!A:E,5,0)</f>
        <v>0</v>
      </c>
      <c r="D21" t="s">
        <v>128</v>
      </c>
      <c r="E21" t="s">
        <v>133</v>
      </c>
      <c r="F21">
        <v>1962</v>
      </c>
      <c r="H21">
        <v>415</v>
      </c>
      <c r="I21" s="4">
        <f t="shared" si="0"/>
        <v>1.62</v>
      </c>
      <c r="J21" s="4">
        <f t="shared" si="1"/>
        <v>672.30000000000007</v>
      </c>
      <c r="K21" s="4"/>
      <c r="L21">
        <v>10</v>
      </c>
      <c r="M21">
        <f>VLOOKUP(L21,Regolamento!A:B,2,0)</f>
        <v>31</v>
      </c>
      <c r="N21" s="4">
        <f t="shared" si="2"/>
        <v>1.65</v>
      </c>
      <c r="O21" s="4">
        <f t="shared" si="3"/>
        <v>1.67</v>
      </c>
      <c r="P21" s="15">
        <f t="shared" si="5"/>
        <v>85.42049999999999</v>
      </c>
      <c r="R21" s="6">
        <f t="shared" si="4"/>
        <v>6.384615384615385</v>
      </c>
      <c r="T21" s="15"/>
      <c r="U21" s="63"/>
    </row>
    <row r="22" spans="1:21" x14ac:dyDescent="0.25">
      <c r="A22" s="8" t="s">
        <v>70</v>
      </c>
      <c r="B22" s="12" t="str">
        <f>VLOOKUP(A22,concorrenti!A:B,2,1)</f>
        <v>CAVEM</v>
      </c>
      <c r="C22" s="76">
        <f>VLOOKUP(A22,concorrenti!A:E,5,0)</f>
        <v>0</v>
      </c>
      <c r="D22" t="s">
        <v>131</v>
      </c>
      <c r="E22" t="s">
        <v>132</v>
      </c>
      <c r="F22">
        <v>1974</v>
      </c>
      <c r="H22">
        <v>395</v>
      </c>
      <c r="I22" s="4">
        <f t="shared" si="0"/>
        <v>1.74</v>
      </c>
      <c r="J22" s="4">
        <f t="shared" si="1"/>
        <v>687.3</v>
      </c>
      <c r="K22" s="4"/>
      <c r="L22">
        <v>11</v>
      </c>
      <c r="M22">
        <f>VLOOKUP(L22,Regolamento!A:B,2,0)</f>
        <v>30</v>
      </c>
      <c r="N22" s="4">
        <f t="shared" si="2"/>
        <v>1.65</v>
      </c>
      <c r="O22" s="4">
        <f t="shared" si="3"/>
        <v>1.67</v>
      </c>
      <c r="P22" s="15">
        <f t="shared" si="5"/>
        <v>82.664999999999992</v>
      </c>
      <c r="R22" s="6">
        <f t="shared" si="4"/>
        <v>6.0769230769230766</v>
      </c>
      <c r="T22" s="15"/>
      <c r="U22" s="63"/>
    </row>
    <row r="23" spans="1:21" x14ac:dyDescent="0.25">
      <c r="A23" s="8" t="s">
        <v>29</v>
      </c>
      <c r="B23" s="12" t="str">
        <f>VLOOKUP(A23,concorrenti!A:B,2,1)</f>
        <v>OROBICO</v>
      </c>
      <c r="C23" s="76">
        <f>VLOOKUP(A23,concorrenti!A:E,5,0)</f>
        <v>0</v>
      </c>
      <c r="D23" t="s">
        <v>136</v>
      </c>
      <c r="E23" t="s">
        <v>137</v>
      </c>
      <c r="F23">
        <v>1973</v>
      </c>
      <c r="G23" s="8"/>
      <c r="H23">
        <v>422</v>
      </c>
      <c r="I23" s="4">
        <f t="shared" si="0"/>
        <v>1.73</v>
      </c>
      <c r="J23" s="4">
        <f t="shared" si="1"/>
        <v>730.06</v>
      </c>
      <c r="K23" s="4"/>
      <c r="L23">
        <v>12</v>
      </c>
      <c r="M23">
        <f>VLOOKUP(L23,Regolamento!A:B,2,0)</f>
        <v>29</v>
      </c>
      <c r="N23" s="4">
        <f t="shared" si="2"/>
        <v>1.65</v>
      </c>
      <c r="O23" s="4">
        <f t="shared" si="3"/>
        <v>1.67</v>
      </c>
      <c r="P23" s="15">
        <f t="shared" si="5"/>
        <v>79.909499999999994</v>
      </c>
      <c r="R23" s="6">
        <f t="shared" si="4"/>
        <v>6.4923076923076923</v>
      </c>
      <c r="T23" s="15"/>
      <c r="U23" s="63"/>
    </row>
    <row r="24" spans="1:21" x14ac:dyDescent="0.25">
      <c r="A24" s="8" t="s">
        <v>73</v>
      </c>
      <c r="B24" s="12" t="str">
        <f>VLOOKUP(A24,concorrenti!A:B,2,1)</f>
        <v>VAMS</v>
      </c>
      <c r="C24" s="76">
        <f>VLOOKUP(A24,concorrenti!A:E,5,0)</f>
        <v>0</v>
      </c>
      <c r="D24" t="s">
        <v>134</v>
      </c>
      <c r="E24" t="s">
        <v>138</v>
      </c>
      <c r="F24">
        <v>1971</v>
      </c>
      <c r="G24" s="8"/>
      <c r="H24">
        <v>458</v>
      </c>
      <c r="I24" s="4">
        <f t="shared" si="0"/>
        <v>1.71</v>
      </c>
      <c r="J24" s="4">
        <f t="shared" si="1"/>
        <v>783.18</v>
      </c>
      <c r="K24" s="4"/>
      <c r="L24">
        <v>13</v>
      </c>
      <c r="M24">
        <f>VLOOKUP(L24,Regolamento!A:B,2,0)</f>
        <v>28</v>
      </c>
      <c r="N24" s="4">
        <f t="shared" si="2"/>
        <v>1.65</v>
      </c>
      <c r="O24" s="4">
        <f t="shared" si="3"/>
        <v>1.67</v>
      </c>
      <c r="P24" s="15">
        <f t="shared" si="5"/>
        <v>77.153999999999996</v>
      </c>
      <c r="R24" s="6">
        <f t="shared" si="4"/>
        <v>7.046153846153846</v>
      </c>
      <c r="T24" s="15"/>
      <c r="U24" s="63"/>
    </row>
    <row r="25" spans="1:21" x14ac:dyDescent="0.25">
      <c r="A25" s="8" t="s">
        <v>74</v>
      </c>
      <c r="B25" s="12" t="str">
        <f>VLOOKUP(A25,concorrenti!A:B,2,1)</f>
        <v>CASTELLOTTI</v>
      </c>
      <c r="C25" s="76">
        <f>VLOOKUP(A25,concorrenti!A:E,5,0)</f>
        <v>0</v>
      </c>
      <c r="D25" t="s">
        <v>139</v>
      </c>
      <c r="E25" t="s">
        <v>140</v>
      </c>
      <c r="F25">
        <v>1980</v>
      </c>
      <c r="H25">
        <v>522</v>
      </c>
      <c r="I25" s="4">
        <f t="shared" si="0"/>
        <v>1.8</v>
      </c>
      <c r="J25" s="4">
        <f t="shared" si="1"/>
        <v>939.6</v>
      </c>
      <c r="K25" s="4"/>
      <c r="L25">
        <v>14</v>
      </c>
      <c r="M25">
        <f>VLOOKUP(L25,Regolamento!A:B,2,0)</f>
        <v>27</v>
      </c>
      <c r="N25" s="4">
        <f t="shared" si="2"/>
        <v>1.65</v>
      </c>
      <c r="O25" s="4">
        <f t="shared" si="3"/>
        <v>1.67</v>
      </c>
      <c r="P25" s="15">
        <f t="shared" si="5"/>
        <v>74.398499999999999</v>
      </c>
      <c r="R25" s="6">
        <f t="shared" si="4"/>
        <v>8.0307692307692307</v>
      </c>
      <c r="T25" s="15"/>
      <c r="U25" s="63"/>
    </row>
    <row r="26" spans="1:21" x14ac:dyDescent="0.25">
      <c r="A26" s="8" t="s">
        <v>16</v>
      </c>
      <c r="B26" s="12" t="str">
        <f>VLOOKUP(A26,concorrenti!A:B,2,1)</f>
        <v>OROBICO</v>
      </c>
      <c r="C26" s="76">
        <f>VLOOKUP(A26,concorrenti!A:E,5,0)</f>
        <v>0</v>
      </c>
      <c r="D26" t="s">
        <v>134</v>
      </c>
      <c r="E26" t="s">
        <v>141</v>
      </c>
      <c r="F26">
        <v>1961</v>
      </c>
      <c r="H26">
        <v>586</v>
      </c>
      <c r="I26" s="4">
        <f t="shared" si="0"/>
        <v>1.6099999999999999</v>
      </c>
      <c r="J26" s="4">
        <f t="shared" si="1"/>
        <v>943.45999999999992</v>
      </c>
      <c r="K26" s="4"/>
      <c r="L26">
        <v>15</v>
      </c>
      <c r="M26">
        <f>VLOOKUP(L26,Regolamento!A:B,2,0)</f>
        <v>26</v>
      </c>
      <c r="N26" s="4">
        <f t="shared" si="2"/>
        <v>1.65</v>
      </c>
      <c r="O26" s="4">
        <f t="shared" si="3"/>
        <v>1.67</v>
      </c>
      <c r="P26" s="15">
        <f t="shared" si="5"/>
        <v>71.643000000000001</v>
      </c>
      <c r="R26" s="6">
        <f t="shared" si="4"/>
        <v>9.0153846153846153</v>
      </c>
      <c r="T26" s="15"/>
      <c r="U26" s="63"/>
    </row>
    <row r="27" spans="1:21" x14ac:dyDescent="0.25">
      <c r="A27" s="8" t="s">
        <v>75</v>
      </c>
      <c r="B27" s="12" t="str">
        <f>VLOOKUP(A27,concorrenti!A:B,2,1)</f>
        <v>VAMS</v>
      </c>
      <c r="C27" s="76">
        <f>VLOOKUP(A27,concorrenti!A:E,5,0)</f>
        <v>0</v>
      </c>
      <c r="D27" t="s">
        <v>124</v>
      </c>
      <c r="E27" t="s">
        <v>125</v>
      </c>
      <c r="F27">
        <v>1972</v>
      </c>
      <c r="H27">
        <v>558</v>
      </c>
      <c r="I27" s="4">
        <f t="shared" si="0"/>
        <v>1.72</v>
      </c>
      <c r="J27" s="4">
        <f t="shared" si="1"/>
        <v>959.76</v>
      </c>
      <c r="K27" s="4"/>
      <c r="L27">
        <v>16</v>
      </c>
      <c r="M27">
        <f>VLOOKUP(L27,Regolamento!A:B,2,0)</f>
        <v>25</v>
      </c>
      <c r="N27" s="4">
        <f t="shared" si="2"/>
        <v>1.65</v>
      </c>
      <c r="O27" s="4">
        <f t="shared" si="3"/>
        <v>1.67</v>
      </c>
      <c r="P27" s="15">
        <f t="shared" si="5"/>
        <v>68.887500000000003</v>
      </c>
      <c r="R27" s="6">
        <f t="shared" si="4"/>
        <v>8.5846153846153843</v>
      </c>
      <c r="T27" s="15"/>
      <c r="U27" s="63"/>
    </row>
    <row r="28" spans="1:21" x14ac:dyDescent="0.25">
      <c r="A28" s="8" t="s">
        <v>76</v>
      </c>
      <c r="B28" s="12" t="str">
        <f>VLOOKUP(A28,concorrenti!A:B,2,1)</f>
        <v>CASTELLOTTI</v>
      </c>
      <c r="C28" s="76">
        <f>VLOOKUP(A28,concorrenti!A:E,5,0)</f>
        <v>0</v>
      </c>
      <c r="D28" t="s">
        <v>121</v>
      </c>
      <c r="E28" t="s">
        <v>122</v>
      </c>
      <c r="F28">
        <v>1970</v>
      </c>
      <c r="H28">
        <v>580</v>
      </c>
      <c r="I28" s="4">
        <f t="shared" si="0"/>
        <v>1.7</v>
      </c>
      <c r="J28" s="4">
        <f t="shared" si="1"/>
        <v>986</v>
      </c>
      <c r="K28" s="4"/>
      <c r="L28">
        <v>17</v>
      </c>
      <c r="M28">
        <f>VLOOKUP(L28,Regolamento!A:B,2,0)</f>
        <v>24</v>
      </c>
      <c r="N28" s="4">
        <f t="shared" si="2"/>
        <v>1.65</v>
      </c>
      <c r="O28" s="4">
        <f t="shared" si="3"/>
        <v>1.67</v>
      </c>
      <c r="P28" s="15">
        <f t="shared" si="5"/>
        <v>66.131999999999991</v>
      </c>
      <c r="R28" s="6">
        <f t="shared" si="4"/>
        <v>8.9230769230769234</v>
      </c>
      <c r="T28" s="15"/>
      <c r="U28" s="63"/>
    </row>
    <row r="29" spans="1:21" x14ac:dyDescent="0.25">
      <c r="A29" s="8" t="s">
        <v>77</v>
      </c>
      <c r="B29" s="12" t="str">
        <f>VLOOKUP(A29,concorrenti!A:B,2,1)</f>
        <v>VAMS</v>
      </c>
      <c r="C29" s="76">
        <f>VLOOKUP(A29,concorrenti!A:E,5,0)</f>
        <v>0</v>
      </c>
      <c r="D29" t="s">
        <v>121</v>
      </c>
      <c r="E29" t="s">
        <v>142</v>
      </c>
      <c r="F29">
        <v>1972</v>
      </c>
      <c r="H29">
        <v>583</v>
      </c>
      <c r="I29" s="4">
        <f t="shared" si="0"/>
        <v>1.72</v>
      </c>
      <c r="J29" s="4">
        <f t="shared" si="1"/>
        <v>1002.76</v>
      </c>
      <c r="K29" s="4"/>
      <c r="L29">
        <v>18</v>
      </c>
      <c r="M29">
        <f>VLOOKUP(L29,Regolamento!A:B,2,0)</f>
        <v>23</v>
      </c>
      <c r="N29" s="4">
        <f t="shared" si="2"/>
        <v>1.65</v>
      </c>
      <c r="O29" s="4">
        <f t="shared" si="3"/>
        <v>1.67</v>
      </c>
      <c r="P29" s="15">
        <f t="shared" si="5"/>
        <v>63.376499999999993</v>
      </c>
      <c r="R29" s="6">
        <f t="shared" si="4"/>
        <v>8.9692307692307693</v>
      </c>
      <c r="T29" s="15"/>
      <c r="U29" s="63"/>
    </row>
    <row r="30" spans="1:21" x14ac:dyDescent="0.25">
      <c r="A30" s="8" t="s">
        <v>28</v>
      </c>
      <c r="B30" s="12" t="str">
        <f>VLOOKUP(A30,concorrenti!A:B,2,1)</f>
        <v>VAMS</v>
      </c>
      <c r="C30" s="76">
        <f>VLOOKUP(A30,concorrenti!A:E,5,0)</f>
        <v>0</v>
      </c>
      <c r="D30" t="s">
        <v>134</v>
      </c>
      <c r="E30" t="s">
        <v>143</v>
      </c>
      <c r="F30">
        <v>1975</v>
      </c>
      <c r="H30">
        <v>600</v>
      </c>
      <c r="I30" s="4">
        <f t="shared" si="0"/>
        <v>1.75</v>
      </c>
      <c r="J30" s="4">
        <f t="shared" si="1"/>
        <v>1050</v>
      </c>
      <c r="K30" s="4"/>
      <c r="L30">
        <v>19</v>
      </c>
      <c r="M30">
        <f>VLOOKUP(L30,Regolamento!A:B,2,0)</f>
        <v>22</v>
      </c>
      <c r="N30" s="4">
        <f t="shared" si="2"/>
        <v>1.65</v>
      </c>
      <c r="O30" s="4">
        <f t="shared" si="3"/>
        <v>1.67</v>
      </c>
      <c r="P30" s="15">
        <f t="shared" si="5"/>
        <v>60.620999999999995</v>
      </c>
      <c r="R30" s="6">
        <f t="shared" si="4"/>
        <v>9.2307692307692299</v>
      </c>
      <c r="T30" s="15"/>
      <c r="U30" s="63"/>
    </row>
    <row r="31" spans="1:21" x14ac:dyDescent="0.25">
      <c r="A31" s="8" t="s">
        <v>315</v>
      </c>
      <c r="B31" s="12" t="str">
        <f>VLOOKUP(A31,concorrenti!A:B,2,1)</f>
        <v>VALTELLINA</v>
      </c>
      <c r="C31" s="76">
        <f>VLOOKUP(A31,concorrenti!A:E,5,0)</f>
        <v>0</v>
      </c>
      <c r="D31" t="s">
        <v>144</v>
      </c>
      <c r="E31" t="s">
        <v>145</v>
      </c>
      <c r="F31">
        <v>1966</v>
      </c>
      <c r="H31">
        <v>634</v>
      </c>
      <c r="I31" s="4">
        <f t="shared" si="0"/>
        <v>1.6600000000000001</v>
      </c>
      <c r="J31" s="4">
        <f t="shared" si="1"/>
        <v>1052.44</v>
      </c>
      <c r="K31" s="4"/>
      <c r="L31">
        <v>20</v>
      </c>
      <c r="M31">
        <f>VLOOKUP(L31,Regolamento!A:B,2,0)</f>
        <v>21</v>
      </c>
      <c r="N31" s="4">
        <f t="shared" si="2"/>
        <v>1.65</v>
      </c>
      <c r="O31" s="4">
        <f t="shared" si="3"/>
        <v>1.67</v>
      </c>
      <c r="P31" s="15">
        <f t="shared" si="5"/>
        <v>57.865499999999997</v>
      </c>
      <c r="R31" s="6">
        <f t="shared" si="4"/>
        <v>9.7538461538461547</v>
      </c>
      <c r="T31" s="15"/>
      <c r="U31" s="63"/>
    </row>
    <row r="32" spans="1:21" x14ac:dyDescent="0.25">
      <c r="A32" s="8" t="s">
        <v>555</v>
      </c>
      <c r="B32" s="12" t="str">
        <f>VLOOKUP(A32,concorrenti!A:B,2,1)</f>
        <v>GAMS</v>
      </c>
      <c r="C32" s="76">
        <f>VLOOKUP(A32,concorrenti!A:E,5,0)</f>
        <v>0</v>
      </c>
      <c r="D32" t="s">
        <v>144</v>
      </c>
      <c r="E32" t="s">
        <v>33</v>
      </c>
      <c r="F32">
        <v>1958</v>
      </c>
      <c r="H32">
        <v>671</v>
      </c>
      <c r="I32" s="4">
        <f t="shared" si="0"/>
        <v>1.58</v>
      </c>
      <c r="J32" s="4">
        <f t="shared" si="1"/>
        <v>1060.18</v>
      </c>
      <c r="K32" s="4"/>
      <c r="L32">
        <v>21</v>
      </c>
      <c r="M32">
        <f>VLOOKUP(L32,Regolamento!A:B,2,0)</f>
        <v>20</v>
      </c>
      <c r="N32" s="4">
        <f t="shared" si="2"/>
        <v>1.65</v>
      </c>
      <c r="O32" s="4">
        <f t="shared" si="3"/>
        <v>1.67</v>
      </c>
      <c r="P32" s="15">
        <f t="shared" si="5"/>
        <v>55.11</v>
      </c>
      <c r="R32" s="6">
        <f t="shared" si="4"/>
        <v>10.323076923076924</v>
      </c>
      <c r="T32" s="15"/>
      <c r="U32" s="63"/>
    </row>
    <row r="33" spans="1:21" x14ac:dyDescent="0.25">
      <c r="A33" s="8" t="s">
        <v>78</v>
      </c>
      <c r="B33" s="12" t="str">
        <f>VLOOKUP(A33,concorrenti!A:B,2,1)</f>
        <v>VAMS</v>
      </c>
      <c r="C33" s="76">
        <f>VLOOKUP(A33,concorrenti!A:E,5,0)</f>
        <v>0</v>
      </c>
      <c r="D33" t="s">
        <v>136</v>
      </c>
      <c r="E33" t="s">
        <v>146</v>
      </c>
      <c r="F33">
        <v>1973</v>
      </c>
      <c r="H33">
        <v>713</v>
      </c>
      <c r="I33" s="4">
        <f t="shared" si="0"/>
        <v>1.73</v>
      </c>
      <c r="J33" s="4">
        <f t="shared" si="1"/>
        <v>1233.49</v>
      </c>
      <c r="K33" s="4"/>
      <c r="L33">
        <v>22</v>
      </c>
      <c r="M33">
        <f>VLOOKUP(L33,Regolamento!A:B,2,0)</f>
        <v>19</v>
      </c>
      <c r="N33" s="4">
        <f t="shared" si="2"/>
        <v>1.65</v>
      </c>
      <c r="O33" s="4">
        <f t="shared" si="3"/>
        <v>1.67</v>
      </c>
      <c r="P33" s="15">
        <f t="shared" si="5"/>
        <v>52.354499999999994</v>
      </c>
      <c r="R33" s="6">
        <f t="shared" si="4"/>
        <v>10.969230769230769</v>
      </c>
      <c r="T33" s="15"/>
      <c r="U33" s="63"/>
    </row>
    <row r="34" spans="1:21" x14ac:dyDescent="0.25">
      <c r="A34" s="8" t="s">
        <v>13</v>
      </c>
      <c r="B34" s="12" t="str">
        <f>VLOOKUP(A34,concorrenti!A:B,2,1)</f>
        <v>VAMS</v>
      </c>
      <c r="C34" s="76">
        <f>VLOOKUP(A34,concorrenti!A:E,5,0)</f>
        <v>0</v>
      </c>
      <c r="D34" t="s">
        <v>147</v>
      </c>
      <c r="E34" t="s">
        <v>148</v>
      </c>
      <c r="F34">
        <v>1957</v>
      </c>
      <c r="H34">
        <v>849</v>
      </c>
      <c r="I34" s="4">
        <f t="shared" si="0"/>
        <v>1.5699999999999998</v>
      </c>
      <c r="J34" s="4">
        <f t="shared" si="1"/>
        <v>1332.9299999999998</v>
      </c>
      <c r="K34" s="4"/>
      <c r="L34">
        <v>23</v>
      </c>
      <c r="M34">
        <f>VLOOKUP(L34,Regolamento!A:B,2,0)</f>
        <v>18</v>
      </c>
      <c r="N34" s="4">
        <f t="shared" si="2"/>
        <v>1.65</v>
      </c>
      <c r="O34" s="4">
        <f t="shared" si="3"/>
        <v>1.67</v>
      </c>
      <c r="P34" s="15">
        <f t="shared" si="5"/>
        <v>49.598999999999997</v>
      </c>
      <c r="R34" s="6">
        <f t="shared" si="4"/>
        <v>13.061538461538461</v>
      </c>
      <c r="T34" s="15"/>
      <c r="U34" s="63"/>
    </row>
    <row r="35" spans="1:21" x14ac:dyDescent="0.25">
      <c r="A35" s="8" t="s">
        <v>79</v>
      </c>
      <c r="B35" s="12" t="str">
        <f>VLOOKUP(A35,concorrenti!A:B,2,1)</f>
        <v>VAMS</v>
      </c>
      <c r="C35" s="76">
        <f>VLOOKUP(A35,concorrenti!A:E,5,0)</f>
        <v>0</v>
      </c>
      <c r="D35" t="s">
        <v>124</v>
      </c>
      <c r="E35" t="s">
        <v>149</v>
      </c>
      <c r="F35">
        <v>1971</v>
      </c>
      <c r="H35">
        <v>818</v>
      </c>
      <c r="I35" s="4">
        <f t="shared" si="0"/>
        <v>1.71</v>
      </c>
      <c r="J35" s="4">
        <f t="shared" si="1"/>
        <v>1398.78</v>
      </c>
      <c r="K35" s="4"/>
      <c r="L35">
        <v>24</v>
      </c>
      <c r="M35">
        <f>VLOOKUP(L35,Regolamento!A:B,2,0)</f>
        <v>17</v>
      </c>
      <c r="N35" s="4">
        <f t="shared" si="2"/>
        <v>1.65</v>
      </c>
      <c r="O35" s="4">
        <f t="shared" si="3"/>
        <v>1.67</v>
      </c>
      <c r="P35" s="15">
        <f t="shared" si="5"/>
        <v>46.843499999999992</v>
      </c>
      <c r="R35" s="6">
        <f t="shared" si="4"/>
        <v>12.584615384615384</v>
      </c>
      <c r="T35" s="15"/>
      <c r="U35" s="63"/>
    </row>
    <row r="36" spans="1:21" x14ac:dyDescent="0.25">
      <c r="A36" s="8" t="s">
        <v>80</v>
      </c>
      <c r="B36" s="12" t="str">
        <f>VLOOKUP(A36,concorrenti!A:B,2,1)</f>
        <v>VALTELLINA</v>
      </c>
      <c r="C36" s="76">
        <f>VLOOKUP(A36,concorrenti!A:E,5,0)</f>
        <v>0</v>
      </c>
      <c r="D36" t="s">
        <v>121</v>
      </c>
      <c r="E36" t="s">
        <v>150</v>
      </c>
      <c r="F36">
        <v>1968</v>
      </c>
      <c r="H36">
        <v>853</v>
      </c>
      <c r="I36" s="4">
        <f t="shared" si="0"/>
        <v>1.6800000000000002</v>
      </c>
      <c r="J36" s="4">
        <f t="shared" si="1"/>
        <v>1433.0400000000002</v>
      </c>
      <c r="K36" s="4"/>
      <c r="L36">
        <v>25</v>
      </c>
      <c r="M36">
        <f>VLOOKUP(L36,Regolamento!A:B,2,0)</f>
        <v>16</v>
      </c>
      <c r="N36" s="4">
        <f t="shared" si="2"/>
        <v>1.65</v>
      </c>
      <c r="O36" s="4">
        <f t="shared" si="3"/>
        <v>1.67</v>
      </c>
      <c r="P36" s="15">
        <f t="shared" si="5"/>
        <v>44.087999999999994</v>
      </c>
      <c r="R36" s="6">
        <f t="shared" si="4"/>
        <v>13.123076923076923</v>
      </c>
      <c r="T36" s="15"/>
      <c r="U36" s="63"/>
    </row>
    <row r="37" spans="1:21" x14ac:dyDescent="0.25">
      <c r="A37" s="8" t="s">
        <v>31</v>
      </c>
      <c r="B37" s="12" t="str">
        <f>VLOOKUP(A37,concorrenti!A:B,2,1)</f>
        <v>OROBICO</v>
      </c>
      <c r="C37" s="76">
        <f>VLOOKUP(A37,concorrenti!A:E,5,0)</f>
        <v>0</v>
      </c>
      <c r="D37" t="s">
        <v>121</v>
      </c>
      <c r="E37" s="70" t="s">
        <v>153</v>
      </c>
      <c r="F37">
        <v>1975</v>
      </c>
      <c r="H37">
        <v>882</v>
      </c>
      <c r="I37" s="4">
        <f t="shared" si="0"/>
        <v>1.75</v>
      </c>
      <c r="J37" s="4">
        <f t="shared" si="1"/>
        <v>1543.5</v>
      </c>
      <c r="K37" s="4"/>
      <c r="L37">
        <v>26</v>
      </c>
      <c r="M37">
        <f>VLOOKUP(L37,Regolamento!A:B,2,0)</f>
        <v>15</v>
      </c>
      <c r="N37" s="4">
        <f t="shared" si="2"/>
        <v>1.65</v>
      </c>
      <c r="O37" s="4">
        <f t="shared" si="3"/>
        <v>1.67</v>
      </c>
      <c r="P37" s="15">
        <f t="shared" si="5"/>
        <v>41.332499999999996</v>
      </c>
      <c r="R37" s="6">
        <f t="shared" si="4"/>
        <v>13.569230769230769</v>
      </c>
      <c r="T37" s="15"/>
      <c r="U37" s="63"/>
    </row>
    <row r="38" spans="1:21" x14ac:dyDescent="0.25">
      <c r="A38" s="8" t="s">
        <v>81</v>
      </c>
      <c r="B38" s="12" t="str">
        <f>VLOOKUP(A38,concorrenti!A:B,2,1)</f>
        <v>CASTELLOTTI</v>
      </c>
      <c r="C38" s="76">
        <f>VLOOKUP(A38,concorrenti!A:E,5,0)</f>
        <v>0</v>
      </c>
      <c r="D38" t="s">
        <v>151</v>
      </c>
      <c r="E38" t="s">
        <v>152</v>
      </c>
      <c r="F38">
        <v>1981</v>
      </c>
      <c r="H38">
        <v>1032</v>
      </c>
      <c r="I38" s="4">
        <f t="shared" si="0"/>
        <v>1.81</v>
      </c>
      <c r="J38" s="4">
        <f t="shared" si="1"/>
        <v>1867.92</v>
      </c>
      <c r="K38" s="4"/>
      <c r="L38">
        <v>27</v>
      </c>
      <c r="M38">
        <f>VLOOKUP(L38,Regolamento!A:B,2,0)</f>
        <v>14</v>
      </c>
      <c r="N38" s="4">
        <f t="shared" si="2"/>
        <v>1.65</v>
      </c>
      <c r="O38" s="4">
        <f t="shared" si="3"/>
        <v>1.67</v>
      </c>
      <c r="P38" s="15">
        <f t="shared" si="5"/>
        <v>38.576999999999998</v>
      </c>
      <c r="R38" s="6">
        <f t="shared" si="4"/>
        <v>15.876923076923077</v>
      </c>
      <c r="T38" s="15"/>
      <c r="U38" s="63"/>
    </row>
    <row r="39" spans="1:21" x14ac:dyDescent="0.25">
      <c r="A39" s="8" t="s">
        <v>553</v>
      </c>
      <c r="B39" s="12" t="str">
        <f>VLOOKUP(A39,concorrenti!A:B,2,1)</f>
        <v>GAMS</v>
      </c>
      <c r="C39" s="76">
        <f>VLOOKUP(A39,concorrenti!A:E,5,0)</f>
        <v>0</v>
      </c>
      <c r="D39" t="s">
        <v>546</v>
      </c>
      <c r="E39">
        <v>1500</v>
      </c>
      <c r="F39">
        <v>1938</v>
      </c>
      <c r="H39">
        <v>1480</v>
      </c>
      <c r="I39" s="4">
        <f t="shared" si="0"/>
        <v>1.38</v>
      </c>
      <c r="J39" s="4">
        <f t="shared" si="1"/>
        <v>2042.3999999999999</v>
      </c>
      <c r="K39" s="4"/>
      <c r="L39">
        <v>28</v>
      </c>
      <c r="M39">
        <f>VLOOKUP(L39,Regolamento!A:B,2,0)</f>
        <v>13</v>
      </c>
      <c r="N39" s="4">
        <f t="shared" si="2"/>
        <v>1.65</v>
      </c>
      <c r="O39" s="4">
        <f t="shared" si="3"/>
        <v>1.67</v>
      </c>
      <c r="P39" s="15">
        <f t="shared" si="5"/>
        <v>35.8215</v>
      </c>
      <c r="R39" s="6">
        <f t="shared" si="4"/>
        <v>22.76923076923077</v>
      </c>
      <c r="T39" s="15"/>
      <c r="U39" s="63"/>
    </row>
    <row r="40" spans="1:21" x14ac:dyDescent="0.25">
      <c r="A40" s="8" t="s">
        <v>40</v>
      </c>
      <c r="B40" s="12" t="str">
        <f>VLOOKUP(A40,concorrenti!A:B,2,1)</f>
        <v>VAMS</v>
      </c>
      <c r="C40" s="76">
        <f>VLOOKUP(A40,concorrenti!A:E,5,0)</f>
        <v>0</v>
      </c>
      <c r="D40" t="s">
        <v>144</v>
      </c>
      <c r="E40" t="s">
        <v>33</v>
      </c>
      <c r="F40">
        <v>1957</v>
      </c>
      <c r="H40">
        <v>1414</v>
      </c>
      <c r="I40" s="4">
        <f t="shared" si="0"/>
        <v>1.5699999999999998</v>
      </c>
      <c r="J40" s="4">
        <f t="shared" si="1"/>
        <v>2219.9799999999996</v>
      </c>
      <c r="K40" s="4"/>
      <c r="L40">
        <v>29</v>
      </c>
      <c r="M40">
        <f>VLOOKUP(L40,Regolamento!A:B,2,0)</f>
        <v>12</v>
      </c>
      <c r="N40" s="4">
        <f t="shared" si="2"/>
        <v>1.65</v>
      </c>
      <c r="O40" s="4">
        <f t="shared" si="3"/>
        <v>1.67</v>
      </c>
      <c r="P40" s="15">
        <f t="shared" si="5"/>
        <v>33.065999999999995</v>
      </c>
      <c r="R40" s="6">
        <f t="shared" si="4"/>
        <v>21.753846153846155</v>
      </c>
      <c r="T40" s="15"/>
      <c r="U40" s="63"/>
    </row>
    <row r="41" spans="1:21" x14ac:dyDescent="0.25">
      <c r="A41" s="8" t="s">
        <v>30</v>
      </c>
      <c r="B41" s="12" t="str">
        <f>VLOOKUP(A41,concorrenti!A:B,2,1)</f>
        <v>VAMS</v>
      </c>
      <c r="C41" s="76">
        <f>VLOOKUP(A41,concorrenti!A:E,5,0)</f>
        <v>0</v>
      </c>
      <c r="D41" t="s">
        <v>121</v>
      </c>
      <c r="E41" t="s">
        <v>142</v>
      </c>
      <c r="F41">
        <v>1968</v>
      </c>
      <c r="H41">
        <v>1342</v>
      </c>
      <c r="I41" s="4">
        <f t="shared" si="0"/>
        <v>1.6800000000000002</v>
      </c>
      <c r="J41" s="4">
        <f t="shared" si="1"/>
        <v>2254.5600000000004</v>
      </c>
      <c r="K41" s="4"/>
      <c r="L41">
        <v>30</v>
      </c>
      <c r="M41">
        <f>VLOOKUP(L41,Regolamento!A:B,2,0)</f>
        <v>11</v>
      </c>
      <c r="N41" s="4">
        <f t="shared" si="2"/>
        <v>1.65</v>
      </c>
      <c r="O41" s="4">
        <f t="shared" si="3"/>
        <v>1.67</v>
      </c>
      <c r="P41" s="15">
        <f t="shared" si="5"/>
        <v>30.310499999999998</v>
      </c>
      <c r="R41" s="6">
        <f t="shared" si="4"/>
        <v>20.646153846153847</v>
      </c>
      <c r="T41" s="15"/>
      <c r="U41" s="63"/>
    </row>
    <row r="42" spans="1:21" x14ac:dyDescent="0.25">
      <c r="A42" s="8" t="s">
        <v>24</v>
      </c>
      <c r="B42" s="12" t="str">
        <f>VLOOKUP(A42,concorrenti!A:B,2,1)</f>
        <v>VAMS</v>
      </c>
      <c r="C42" s="76">
        <f>VLOOKUP(A42,concorrenti!A:E,5,0)</f>
        <v>0</v>
      </c>
      <c r="D42" t="s">
        <v>121</v>
      </c>
      <c r="E42" t="s">
        <v>122</v>
      </c>
      <c r="F42">
        <v>1974</v>
      </c>
      <c r="G42" s="8"/>
      <c r="H42">
        <v>1665</v>
      </c>
      <c r="I42" s="4">
        <f t="shared" si="0"/>
        <v>1.74</v>
      </c>
      <c r="J42" s="4">
        <f t="shared" si="1"/>
        <v>2897.1</v>
      </c>
      <c r="K42" s="4"/>
      <c r="L42">
        <v>31</v>
      </c>
      <c r="M42">
        <f>VLOOKUP(L42,Regolamento!A:B,2,0)</f>
        <v>10</v>
      </c>
      <c r="N42" s="4">
        <f t="shared" si="2"/>
        <v>1.65</v>
      </c>
      <c r="O42" s="4">
        <f t="shared" si="3"/>
        <v>1.67</v>
      </c>
      <c r="P42" s="15">
        <f t="shared" ref="P42:P57" si="6">+M42*N42*O42</f>
        <v>27.555</v>
      </c>
      <c r="R42" s="6">
        <f t="shared" si="4"/>
        <v>25.615384615384617</v>
      </c>
      <c r="T42" s="15"/>
      <c r="U42" s="63"/>
    </row>
    <row r="43" spans="1:21" x14ac:dyDescent="0.25">
      <c r="A43" s="8" t="s">
        <v>82</v>
      </c>
      <c r="B43" s="12" t="str">
        <f>VLOOKUP(A43,concorrenti!A:B,2,1)</f>
        <v>VAMS</v>
      </c>
      <c r="C43" s="76">
        <f>VLOOKUP(A43,concorrenti!A:E,5,0)</f>
        <v>0</v>
      </c>
      <c r="D43" t="s">
        <v>134</v>
      </c>
      <c r="E43" t="s">
        <v>154</v>
      </c>
      <c r="F43">
        <v>1967</v>
      </c>
      <c r="H43">
        <v>2045</v>
      </c>
      <c r="I43" s="4">
        <f t="shared" si="0"/>
        <v>1.67</v>
      </c>
      <c r="J43" s="4">
        <f t="shared" si="1"/>
        <v>3415.1499999999996</v>
      </c>
      <c r="K43" s="4"/>
      <c r="L43">
        <v>32</v>
      </c>
      <c r="M43">
        <f>VLOOKUP(L43,Regolamento!A:B,2,0)</f>
        <v>9</v>
      </c>
      <c r="N43" s="4">
        <f t="shared" si="2"/>
        <v>1.65</v>
      </c>
      <c r="O43" s="4">
        <f t="shared" si="3"/>
        <v>1.67</v>
      </c>
      <c r="P43" s="15">
        <f t="shared" si="6"/>
        <v>24.799499999999998</v>
      </c>
      <c r="R43" s="6">
        <f t="shared" si="4"/>
        <v>31.46153846153846</v>
      </c>
      <c r="T43" s="15"/>
      <c r="U43" s="63"/>
    </row>
    <row r="44" spans="1:21" x14ac:dyDescent="0.25">
      <c r="A44" s="8" t="s">
        <v>18</v>
      </c>
      <c r="B44" s="12" t="str">
        <f>VLOOKUP(A44,concorrenti!A:B,2,1)</f>
        <v>VAMS</v>
      </c>
      <c r="C44" s="76">
        <f>VLOOKUP(A44,concorrenti!A:E,5,0)</f>
        <v>0</v>
      </c>
      <c r="D44" t="s">
        <v>134</v>
      </c>
      <c r="E44" t="s">
        <v>155</v>
      </c>
      <c r="F44">
        <v>1993</v>
      </c>
      <c r="H44">
        <v>1859</v>
      </c>
      <c r="I44" s="4">
        <f t="shared" ref="I44:I68" si="7">IF(C44&lt;&gt;0,((1+RIGHT(F44,2)/100)-0.1),(1+RIGHT(F44,2)/100))</f>
        <v>1.9300000000000002</v>
      </c>
      <c r="J44" s="4">
        <f t="shared" ref="J44:J68" si="8">+H44*I44</f>
        <v>3587.8700000000003</v>
      </c>
      <c r="K44" s="4"/>
      <c r="L44">
        <v>33</v>
      </c>
      <c r="M44">
        <f>VLOOKUP(L44,Regolamento!A:B,2,0)</f>
        <v>8</v>
      </c>
      <c r="N44" s="4">
        <f t="shared" si="2"/>
        <v>1.65</v>
      </c>
      <c r="O44" s="4">
        <f t="shared" si="3"/>
        <v>1.67</v>
      </c>
      <c r="P44" s="15">
        <f t="shared" si="6"/>
        <v>22.043999999999997</v>
      </c>
      <c r="R44" s="6">
        <f t="shared" si="4"/>
        <v>28.6</v>
      </c>
      <c r="S44" s="63"/>
      <c r="T44" s="15"/>
      <c r="U44" s="63"/>
    </row>
    <row r="45" spans="1:21" x14ac:dyDescent="0.25">
      <c r="A45" s="8" t="s">
        <v>26</v>
      </c>
      <c r="B45" s="12" t="str">
        <f>VLOOKUP(A45,concorrenti!A:B,2,1)</f>
        <v>VAMS</v>
      </c>
      <c r="C45" s="76">
        <f>VLOOKUP(A45,concorrenti!A:E,5,0)</f>
        <v>0</v>
      </c>
      <c r="D45" t="s">
        <v>144</v>
      </c>
      <c r="E45" t="s">
        <v>156</v>
      </c>
      <c r="F45">
        <v>1952</v>
      </c>
      <c r="G45" s="8"/>
      <c r="H45">
        <v>2568</v>
      </c>
      <c r="I45" s="4">
        <f t="shared" si="7"/>
        <v>1.52</v>
      </c>
      <c r="J45" s="4">
        <f t="shared" si="8"/>
        <v>3903.36</v>
      </c>
      <c r="K45" s="4"/>
      <c r="L45">
        <v>34</v>
      </c>
      <c r="M45">
        <f>VLOOKUP(L45,Regolamento!A:B,2,0)</f>
        <v>7</v>
      </c>
      <c r="N45" s="4">
        <f t="shared" si="2"/>
        <v>1.65</v>
      </c>
      <c r="O45" s="4">
        <f t="shared" si="3"/>
        <v>1.67</v>
      </c>
      <c r="P45" s="15">
        <f t="shared" si="6"/>
        <v>19.288499999999999</v>
      </c>
      <c r="R45" s="6">
        <f t="shared" si="4"/>
        <v>39.507692307692309</v>
      </c>
      <c r="T45" s="15"/>
      <c r="U45" s="63"/>
    </row>
    <row r="46" spans="1:21" x14ac:dyDescent="0.25">
      <c r="A46" s="8" t="s">
        <v>556</v>
      </c>
      <c r="B46" s="12" t="str">
        <f>VLOOKUP(A46,concorrenti!A:B,2,1)</f>
        <v>GAMS</v>
      </c>
      <c r="C46" s="76">
        <f>VLOOKUP(A46,concorrenti!A:E,5,0)</f>
        <v>0</v>
      </c>
      <c r="D46" t="s">
        <v>544</v>
      </c>
      <c r="E46" t="s">
        <v>545</v>
      </c>
      <c r="F46">
        <v>1981</v>
      </c>
      <c r="H46">
        <v>2397</v>
      </c>
      <c r="I46" s="4">
        <f t="shared" si="7"/>
        <v>1.81</v>
      </c>
      <c r="J46" s="4">
        <f t="shared" si="8"/>
        <v>4338.57</v>
      </c>
      <c r="K46" s="4"/>
      <c r="L46">
        <v>35</v>
      </c>
      <c r="M46">
        <f>VLOOKUP(L46,Regolamento!A:B,2,0)</f>
        <v>6</v>
      </c>
      <c r="N46" s="4">
        <f t="shared" si="2"/>
        <v>1.65</v>
      </c>
      <c r="O46" s="4">
        <f t="shared" si="3"/>
        <v>1.67</v>
      </c>
      <c r="P46" s="15">
        <f t="shared" si="6"/>
        <v>16.532999999999998</v>
      </c>
      <c r="R46" s="6">
        <f t="shared" si="4"/>
        <v>36.876923076923077</v>
      </c>
      <c r="U46" s="63"/>
    </row>
    <row r="47" spans="1:21" x14ac:dyDescent="0.25">
      <c r="A47" s="8" t="s">
        <v>387</v>
      </c>
      <c r="B47" s="12" t="str">
        <f>VLOOKUP(A47,concorrenti!A:B,2,1)</f>
        <v>GAMS</v>
      </c>
      <c r="C47" s="76">
        <f>VLOOKUP(A47,concorrenti!A:E,5,0)</f>
        <v>0</v>
      </c>
      <c r="D47" t="s">
        <v>548</v>
      </c>
      <c r="E47" t="s">
        <v>422</v>
      </c>
      <c r="F47">
        <v>1930</v>
      </c>
      <c r="H47">
        <v>3462</v>
      </c>
      <c r="I47" s="4">
        <f t="shared" si="7"/>
        <v>1.3</v>
      </c>
      <c r="J47" s="4">
        <f t="shared" si="8"/>
        <v>4500.6000000000004</v>
      </c>
      <c r="K47" s="4"/>
      <c r="L47">
        <v>36</v>
      </c>
      <c r="M47">
        <f>VLOOKUP(L47,Regolamento!A:B,2,0)</f>
        <v>5</v>
      </c>
      <c r="N47" s="4">
        <f t="shared" si="2"/>
        <v>1.65</v>
      </c>
      <c r="O47" s="4">
        <f t="shared" si="3"/>
        <v>1.67</v>
      </c>
      <c r="P47" s="15">
        <f t="shared" si="6"/>
        <v>13.7775</v>
      </c>
      <c r="R47" s="6">
        <f t="shared" si="4"/>
        <v>53.261538461538464</v>
      </c>
      <c r="T47" s="15"/>
      <c r="U47" s="63"/>
    </row>
    <row r="48" spans="1:21" x14ac:dyDescent="0.25">
      <c r="A48" s="8" t="s">
        <v>83</v>
      </c>
      <c r="B48" s="12" t="str">
        <f>VLOOKUP(A48,concorrenti!A:B,2,1)</f>
        <v>CASTELLOTTI</v>
      </c>
      <c r="C48" s="76">
        <f>VLOOKUP(A48,concorrenti!A:E,5,0)</f>
        <v>0</v>
      </c>
      <c r="D48" t="s">
        <v>157</v>
      </c>
      <c r="E48" t="s">
        <v>158</v>
      </c>
      <c r="F48">
        <v>1996</v>
      </c>
      <c r="H48">
        <v>2307</v>
      </c>
      <c r="I48" s="4">
        <f t="shared" si="7"/>
        <v>1.96</v>
      </c>
      <c r="J48" s="4">
        <f t="shared" si="8"/>
        <v>4521.72</v>
      </c>
      <c r="K48" s="4"/>
      <c r="L48">
        <v>37</v>
      </c>
      <c r="M48">
        <f>VLOOKUP(L48,Regolamento!A:B,2,0)</f>
        <v>4</v>
      </c>
      <c r="N48" s="4">
        <f t="shared" si="2"/>
        <v>1.65</v>
      </c>
      <c r="O48" s="4">
        <f t="shared" si="3"/>
        <v>1.67</v>
      </c>
      <c r="P48" s="15">
        <f t="shared" si="6"/>
        <v>11.021999999999998</v>
      </c>
      <c r="R48" s="6">
        <f t="shared" si="4"/>
        <v>35.492307692307691</v>
      </c>
      <c r="T48" s="15"/>
      <c r="U48" s="63"/>
    </row>
    <row r="49" spans="1:21" x14ac:dyDescent="0.25">
      <c r="A49" s="8" t="s">
        <v>84</v>
      </c>
      <c r="B49" s="12" t="str">
        <f>VLOOKUP(A49,concorrenti!A:B,2,1)</f>
        <v>VALTELLINA</v>
      </c>
      <c r="C49" s="76">
        <f>VLOOKUP(A49,concorrenti!A:E,5,0)</f>
        <v>0</v>
      </c>
      <c r="D49" t="s">
        <v>144</v>
      </c>
      <c r="E49" t="s">
        <v>159</v>
      </c>
      <c r="F49">
        <v>1998</v>
      </c>
      <c r="H49">
        <v>2369</v>
      </c>
      <c r="I49" s="4">
        <f t="shared" si="7"/>
        <v>1.98</v>
      </c>
      <c r="J49" s="4">
        <f t="shared" si="8"/>
        <v>4690.62</v>
      </c>
      <c r="K49" s="4"/>
      <c r="L49">
        <v>38</v>
      </c>
      <c r="M49">
        <f>VLOOKUP(L49,Regolamento!A:B,2,0)</f>
        <v>3</v>
      </c>
      <c r="N49" s="4">
        <f t="shared" si="2"/>
        <v>1.65</v>
      </c>
      <c r="O49" s="4">
        <f t="shared" si="3"/>
        <v>1.67</v>
      </c>
      <c r="P49" s="15">
        <f t="shared" si="6"/>
        <v>8.2664999999999988</v>
      </c>
      <c r="R49" s="6">
        <f t="shared" si="4"/>
        <v>36.446153846153848</v>
      </c>
      <c r="S49" s="63"/>
      <c r="T49" s="15"/>
      <c r="U49" s="63"/>
    </row>
    <row r="50" spans="1:21" x14ac:dyDescent="0.25">
      <c r="A50" s="8" t="s">
        <v>380</v>
      </c>
      <c r="B50" s="12" t="str">
        <f>VLOOKUP(A50,concorrenti!A:B,2,1)</f>
        <v>GAMS</v>
      </c>
      <c r="C50" s="76">
        <f>VLOOKUP(A50,concorrenti!A:E,5,0)</f>
        <v>0</v>
      </c>
      <c r="D50" t="s">
        <v>547</v>
      </c>
      <c r="E50">
        <v>3000</v>
      </c>
      <c r="F50">
        <v>1966</v>
      </c>
      <c r="H50">
        <v>2901</v>
      </c>
      <c r="I50" s="4">
        <f t="shared" si="7"/>
        <v>1.6600000000000001</v>
      </c>
      <c r="J50" s="4">
        <f t="shared" si="8"/>
        <v>4815.6600000000008</v>
      </c>
      <c r="K50" s="4"/>
      <c r="L50">
        <v>39</v>
      </c>
      <c r="M50">
        <f>VLOOKUP(L50,Regolamento!A:B,2,0)</f>
        <v>2</v>
      </c>
      <c r="N50" s="4">
        <f t="shared" si="2"/>
        <v>1.65</v>
      </c>
      <c r="O50" s="4">
        <f t="shared" si="3"/>
        <v>1.67</v>
      </c>
      <c r="P50" s="15">
        <f t="shared" si="6"/>
        <v>5.5109999999999992</v>
      </c>
      <c r="R50" s="6">
        <f t="shared" si="4"/>
        <v>44.630769230769232</v>
      </c>
      <c r="U50" s="63"/>
    </row>
    <row r="51" spans="1:21" x14ac:dyDescent="0.25">
      <c r="A51" s="8" t="s">
        <v>299</v>
      </c>
      <c r="B51" s="12" t="str">
        <f>VLOOKUP(A51,concorrenti!A:B,2,1)</f>
        <v>CMAE</v>
      </c>
      <c r="C51" s="76">
        <f>VLOOKUP(A51,concorrenti!A:E,5,0)</f>
        <v>0</v>
      </c>
      <c r="D51" t="s">
        <v>300</v>
      </c>
      <c r="E51" t="s">
        <v>301</v>
      </c>
      <c r="F51">
        <v>1981</v>
      </c>
      <c r="H51">
        <v>2685</v>
      </c>
      <c r="I51" s="4">
        <f t="shared" si="7"/>
        <v>1.81</v>
      </c>
      <c r="J51" s="4">
        <f t="shared" si="8"/>
        <v>4859.8500000000004</v>
      </c>
      <c r="K51" s="4"/>
      <c r="L51">
        <v>40</v>
      </c>
      <c r="M51">
        <f>VLOOKUP(L51,Regolamento!A:B,2,0)</f>
        <v>1</v>
      </c>
      <c r="N51" s="4">
        <f t="shared" si="2"/>
        <v>1.65</v>
      </c>
      <c r="O51" s="4">
        <f t="shared" si="3"/>
        <v>1.67</v>
      </c>
      <c r="P51" s="15">
        <f t="shared" si="6"/>
        <v>2.7554999999999996</v>
      </c>
      <c r="R51" s="6">
        <f t="shared" si="4"/>
        <v>41.307692307692307</v>
      </c>
      <c r="T51" s="15"/>
      <c r="U51" s="63"/>
    </row>
    <row r="52" spans="1:21" x14ac:dyDescent="0.25">
      <c r="A52" s="8" t="s">
        <v>85</v>
      </c>
      <c r="B52" s="12" t="str">
        <f>VLOOKUP(A52,concorrenti!A:B,2,1)</f>
        <v>VAMS</v>
      </c>
      <c r="C52" s="76">
        <f>VLOOKUP(A52,concorrenti!A:E,5,0)</f>
        <v>0</v>
      </c>
      <c r="D52" t="s">
        <v>128</v>
      </c>
      <c r="E52" t="s">
        <v>160</v>
      </c>
      <c r="F52">
        <v>1959</v>
      </c>
      <c r="H52">
        <v>3084</v>
      </c>
      <c r="I52" s="4">
        <f t="shared" si="7"/>
        <v>1.5899999999999999</v>
      </c>
      <c r="J52" s="4">
        <f t="shared" si="8"/>
        <v>4903.5599999999995</v>
      </c>
      <c r="K52" s="4"/>
      <c r="L52">
        <v>41</v>
      </c>
      <c r="M52">
        <f>VLOOKUP(L52,Regolamento!A:B,2,0)</f>
        <v>0.5</v>
      </c>
      <c r="N52" s="4">
        <f t="shared" si="2"/>
        <v>1.65</v>
      </c>
      <c r="O52" s="4">
        <f t="shared" si="3"/>
        <v>1.67</v>
      </c>
      <c r="P52" s="15">
        <f t="shared" si="6"/>
        <v>1.3777499999999998</v>
      </c>
      <c r="R52" s="6">
        <f t="shared" si="4"/>
        <v>47.446153846153848</v>
      </c>
      <c r="T52" s="15"/>
      <c r="U52" s="63"/>
    </row>
    <row r="53" spans="1:21" x14ac:dyDescent="0.25">
      <c r="A53" s="8" t="s">
        <v>25</v>
      </c>
      <c r="B53" s="12" t="str">
        <f>VLOOKUP(A53,concorrenti!A:B,2,1)</f>
        <v>VAMS</v>
      </c>
      <c r="C53" s="76">
        <f>VLOOKUP(A53,concorrenti!A:E,5,0)</f>
        <v>0</v>
      </c>
      <c r="D53" t="s">
        <v>124</v>
      </c>
      <c r="E53" t="s">
        <v>125</v>
      </c>
      <c r="F53">
        <v>1975</v>
      </c>
      <c r="H53">
        <v>2835</v>
      </c>
      <c r="I53" s="4">
        <f t="shared" si="7"/>
        <v>1.75</v>
      </c>
      <c r="J53" s="4">
        <f t="shared" si="8"/>
        <v>4961.25</v>
      </c>
      <c r="K53" s="4"/>
      <c r="L53">
        <v>42</v>
      </c>
      <c r="M53">
        <f>VLOOKUP(L53,Regolamento!A:B,2,0)</f>
        <v>0.5</v>
      </c>
      <c r="N53" s="4">
        <f t="shared" si="2"/>
        <v>1.65</v>
      </c>
      <c r="O53" s="4">
        <f t="shared" si="3"/>
        <v>1.67</v>
      </c>
      <c r="P53" s="15">
        <f t="shared" si="6"/>
        <v>1.3777499999999998</v>
      </c>
      <c r="R53" s="6">
        <f t="shared" si="4"/>
        <v>43.615384615384613</v>
      </c>
      <c r="T53" s="15"/>
      <c r="U53" s="63"/>
    </row>
    <row r="54" spans="1:21" x14ac:dyDescent="0.25">
      <c r="A54" s="8" t="s">
        <v>86</v>
      </c>
      <c r="B54" s="12" t="str">
        <f>VLOOKUP(A54,concorrenti!A:B,2,1)</f>
        <v>VALTELLINA</v>
      </c>
      <c r="C54" s="76">
        <f>VLOOKUP(A54,concorrenti!A:E,5,0)</f>
        <v>0</v>
      </c>
      <c r="D54" t="s">
        <v>121</v>
      </c>
      <c r="E54" t="s">
        <v>161</v>
      </c>
      <c r="F54">
        <v>1957</v>
      </c>
      <c r="H54">
        <v>3503</v>
      </c>
      <c r="I54" s="4">
        <f t="shared" si="7"/>
        <v>1.5699999999999998</v>
      </c>
      <c r="J54" s="4">
        <f t="shared" si="8"/>
        <v>5499.7099999999991</v>
      </c>
      <c r="K54" s="4"/>
      <c r="L54">
        <v>43</v>
      </c>
      <c r="M54">
        <f>VLOOKUP(L54,Regolamento!A:B,2,0)</f>
        <v>0.5</v>
      </c>
      <c r="N54" s="4">
        <f t="shared" si="2"/>
        <v>1.65</v>
      </c>
      <c r="O54" s="4">
        <f t="shared" si="3"/>
        <v>1.67</v>
      </c>
      <c r="P54" s="15">
        <f t="shared" si="6"/>
        <v>1.3777499999999998</v>
      </c>
      <c r="R54" s="6">
        <f t="shared" si="4"/>
        <v>53.892307692307689</v>
      </c>
      <c r="T54" s="15"/>
      <c r="U54" s="63"/>
    </row>
    <row r="55" spans="1:21" x14ac:dyDescent="0.25">
      <c r="A55" s="8" t="s">
        <v>41</v>
      </c>
      <c r="B55" s="12" t="str">
        <f>VLOOKUP(A55,concorrenti!A:B,2,1)</f>
        <v>VALTELLINA</v>
      </c>
      <c r="C55" s="76">
        <f>VLOOKUP(A55,concorrenti!A:E,5,0)</f>
        <v>0</v>
      </c>
      <c r="D55" t="s">
        <v>134</v>
      </c>
      <c r="E55" t="s">
        <v>162</v>
      </c>
      <c r="F55">
        <v>1991</v>
      </c>
      <c r="H55">
        <v>3134</v>
      </c>
      <c r="I55" s="4">
        <f t="shared" si="7"/>
        <v>1.9100000000000001</v>
      </c>
      <c r="J55" s="4">
        <f t="shared" si="8"/>
        <v>5985.9400000000005</v>
      </c>
      <c r="K55" s="4"/>
      <c r="L55">
        <v>44</v>
      </c>
      <c r="M55">
        <f>VLOOKUP(L55,Regolamento!A:B,2,0)</f>
        <v>0.5</v>
      </c>
      <c r="N55" s="4">
        <f t="shared" si="2"/>
        <v>1.65</v>
      </c>
      <c r="O55" s="4">
        <f t="shared" si="3"/>
        <v>1.67</v>
      </c>
      <c r="P55" s="15">
        <f t="shared" si="6"/>
        <v>1.3777499999999998</v>
      </c>
      <c r="R55" s="6">
        <f t="shared" si="4"/>
        <v>48.215384615384615</v>
      </c>
      <c r="T55" s="15"/>
      <c r="U55" s="63"/>
    </row>
    <row r="56" spans="1:21" x14ac:dyDescent="0.25">
      <c r="A56" s="8" t="s">
        <v>554</v>
      </c>
      <c r="B56" s="12" t="str">
        <f>VLOOKUP(A56,concorrenti!A:B,2,1)</f>
        <v>GAMS</v>
      </c>
      <c r="C56" s="76">
        <f>VLOOKUP(A56,concorrenti!A:E,5,0)</f>
        <v>0</v>
      </c>
      <c r="D56" t="s">
        <v>549</v>
      </c>
      <c r="E56">
        <v>190</v>
      </c>
      <c r="F56">
        <v>1956</v>
      </c>
      <c r="H56">
        <v>4647</v>
      </c>
      <c r="I56" s="4">
        <f t="shared" si="7"/>
        <v>1.56</v>
      </c>
      <c r="J56" s="4">
        <f t="shared" si="8"/>
        <v>7249.3200000000006</v>
      </c>
      <c r="K56" s="4"/>
      <c r="L56">
        <v>45</v>
      </c>
      <c r="M56">
        <f>VLOOKUP(L56,Regolamento!A:B,2,0)</f>
        <v>0.5</v>
      </c>
      <c r="N56" s="4">
        <f t="shared" si="2"/>
        <v>1.65</v>
      </c>
      <c r="O56" s="4">
        <f t="shared" si="3"/>
        <v>1.67</v>
      </c>
      <c r="P56" s="15">
        <f t="shared" si="6"/>
        <v>1.3777499999999998</v>
      </c>
      <c r="R56" s="6">
        <f t="shared" si="4"/>
        <v>71.492307692307691</v>
      </c>
      <c r="S56" s="63"/>
      <c r="U56" s="63"/>
    </row>
    <row r="57" spans="1:21" x14ac:dyDescent="0.25">
      <c r="A57" s="8" t="s">
        <v>87</v>
      </c>
      <c r="B57" s="12" t="str">
        <f>VLOOKUP(A57,concorrenti!A:B,2,1)</f>
        <v>CASTELLOTTI</v>
      </c>
      <c r="C57" s="76">
        <f>VLOOKUP(A57,concorrenti!A:E,5,0)</f>
        <v>0</v>
      </c>
      <c r="D57" t="s">
        <v>126</v>
      </c>
      <c r="E57" t="s">
        <v>164</v>
      </c>
      <c r="F57">
        <v>1965</v>
      </c>
      <c r="G57" s="8"/>
      <c r="H57">
        <v>5590</v>
      </c>
      <c r="I57" s="4">
        <f t="shared" si="7"/>
        <v>1.65</v>
      </c>
      <c r="J57" s="4">
        <f t="shared" si="8"/>
        <v>9223.5</v>
      </c>
      <c r="K57" s="4"/>
      <c r="L57">
        <v>46</v>
      </c>
      <c r="M57">
        <f>VLOOKUP(L57,Regolamento!A:B,2,0)</f>
        <v>0.5</v>
      </c>
      <c r="N57" s="4">
        <f t="shared" si="2"/>
        <v>1.65</v>
      </c>
      <c r="O57" s="4">
        <f t="shared" si="3"/>
        <v>1.67</v>
      </c>
      <c r="P57" s="15">
        <f t="shared" si="6"/>
        <v>1.3777499999999998</v>
      </c>
      <c r="R57" s="6">
        <f t="shared" si="4"/>
        <v>86</v>
      </c>
      <c r="S57" s="63"/>
      <c r="T57" s="15"/>
      <c r="U57" s="63"/>
    </row>
    <row r="58" spans="1:21" x14ac:dyDescent="0.25">
      <c r="A58" s="8" t="s">
        <v>88</v>
      </c>
      <c r="B58" s="12" t="str">
        <f>VLOOKUP(A58,concorrenti!A:B,2,1)</f>
        <v>VAMS</v>
      </c>
      <c r="C58" s="76">
        <f>VLOOKUP(A58,concorrenti!A:E,5,0)</f>
        <v>0</v>
      </c>
      <c r="D58" t="s">
        <v>121</v>
      </c>
      <c r="E58" t="s">
        <v>165</v>
      </c>
      <c r="F58">
        <v>1987</v>
      </c>
      <c r="H58">
        <v>4941</v>
      </c>
      <c r="I58" s="4">
        <f t="shared" si="7"/>
        <v>1.87</v>
      </c>
      <c r="J58" s="4">
        <f t="shared" si="8"/>
        <v>9239.67</v>
      </c>
      <c r="K58" s="4"/>
      <c r="L58">
        <v>47</v>
      </c>
      <c r="M58">
        <f>VLOOKUP(L58,Regolamento!A:B,2,0)</f>
        <v>0.5</v>
      </c>
      <c r="N58" s="4">
        <f t="shared" ref="N58" si="9">1+E$5/100</f>
        <v>1.65</v>
      </c>
      <c r="O58" s="4">
        <f t="shared" ref="O58" si="10">1+E$6/100</f>
        <v>1.67</v>
      </c>
      <c r="P58" s="15">
        <f t="shared" ref="P58" si="11">+M58*N58*O58</f>
        <v>1.3777499999999998</v>
      </c>
      <c r="R58" s="6">
        <f t="shared" ref="R58" si="12">+H58/E$5</f>
        <v>76.015384615384619</v>
      </c>
      <c r="S58" s="63"/>
      <c r="T58" s="15"/>
      <c r="U58" s="63"/>
    </row>
    <row r="59" spans="1:21" x14ac:dyDescent="0.25">
      <c r="A59" s="8" t="s">
        <v>457</v>
      </c>
      <c r="B59" s="12" t="str">
        <f>VLOOKUP(A59,concorrenti!A:B,2,1)</f>
        <v>GAMS</v>
      </c>
      <c r="C59" s="76">
        <f>VLOOKUP(A59,concorrenti!A:E,5,0)</f>
        <v>0</v>
      </c>
      <c r="D59" t="s">
        <v>134</v>
      </c>
      <c r="E59" t="s">
        <v>550</v>
      </c>
      <c r="F59">
        <v>1986</v>
      </c>
      <c r="H59">
        <v>6044</v>
      </c>
      <c r="I59" s="4">
        <f t="shared" si="7"/>
        <v>1.8599999999999999</v>
      </c>
      <c r="J59" s="4">
        <f t="shared" si="8"/>
        <v>11241.84</v>
      </c>
      <c r="L59">
        <v>48</v>
      </c>
      <c r="M59">
        <f>VLOOKUP(L59,Regolamento!A:B,2,0)</f>
        <v>0.5</v>
      </c>
      <c r="N59" s="4">
        <f t="shared" ref="N59:N68" si="13">1+E$5/100</f>
        <v>1.65</v>
      </c>
      <c r="O59" s="4">
        <f t="shared" ref="O59:O68" si="14">1+E$6/100</f>
        <v>1.67</v>
      </c>
      <c r="P59" s="15">
        <f t="shared" ref="P59:P68" si="15">+M59*N59*O59</f>
        <v>1.3777499999999998</v>
      </c>
      <c r="R59" s="6">
        <f t="shared" ref="R59:R68" si="16">+H59/E$5</f>
        <v>92.984615384615381</v>
      </c>
      <c r="U59" s="63"/>
    </row>
    <row r="60" spans="1:21" x14ac:dyDescent="0.25">
      <c r="A60" s="8" t="s">
        <v>89</v>
      </c>
      <c r="B60" s="12" t="str">
        <f>VLOOKUP(A60,concorrenti!A:B,2,1)</f>
        <v>VAMS</v>
      </c>
      <c r="C60" s="76">
        <f>VLOOKUP(A60,concorrenti!A:E,5,0)</f>
        <v>0</v>
      </c>
      <c r="D60" t="s">
        <v>134</v>
      </c>
      <c r="E60" t="s">
        <v>154</v>
      </c>
      <c r="F60">
        <v>1975</v>
      </c>
      <c r="H60">
        <v>6510</v>
      </c>
      <c r="I60" s="4">
        <f t="shared" si="7"/>
        <v>1.75</v>
      </c>
      <c r="J60" s="4">
        <f t="shared" si="8"/>
        <v>11392.5</v>
      </c>
      <c r="L60">
        <v>49</v>
      </c>
      <c r="M60">
        <f>VLOOKUP(L60,Regolamento!A:B,2,0)</f>
        <v>0.5</v>
      </c>
      <c r="N60" s="4">
        <f t="shared" si="13"/>
        <v>1.65</v>
      </c>
      <c r="O60" s="4">
        <f t="shared" si="14"/>
        <v>1.67</v>
      </c>
      <c r="P60" s="15">
        <f t="shared" si="15"/>
        <v>1.3777499999999998</v>
      </c>
      <c r="R60" s="6">
        <f t="shared" si="16"/>
        <v>100.15384615384616</v>
      </c>
      <c r="T60" s="15"/>
      <c r="U60" s="63"/>
    </row>
    <row r="61" spans="1:21" x14ac:dyDescent="0.25">
      <c r="A61" s="8" t="s">
        <v>90</v>
      </c>
      <c r="B61" s="12" t="str">
        <f>VLOOKUP(A61,concorrenti!A:B,2,1)</f>
        <v>CASTELLOTTI</v>
      </c>
      <c r="C61" s="76">
        <f>VLOOKUP(A61,concorrenti!A:E,5,0)</f>
        <v>0</v>
      </c>
      <c r="D61" t="s">
        <v>121</v>
      </c>
      <c r="E61" s="70" t="s">
        <v>166</v>
      </c>
      <c r="F61">
        <v>1995</v>
      </c>
      <c r="H61">
        <v>6339</v>
      </c>
      <c r="I61" s="4">
        <f t="shared" si="7"/>
        <v>1.95</v>
      </c>
      <c r="J61" s="4">
        <f t="shared" si="8"/>
        <v>12361.05</v>
      </c>
      <c r="L61">
        <v>50</v>
      </c>
      <c r="M61">
        <f>VLOOKUP(L61,Regolamento!A:B,2,0)</f>
        <v>0.5</v>
      </c>
      <c r="N61" s="4">
        <f t="shared" si="13"/>
        <v>1.65</v>
      </c>
      <c r="O61" s="4">
        <f t="shared" si="14"/>
        <v>1.67</v>
      </c>
      <c r="P61" s="15">
        <f t="shared" si="15"/>
        <v>1.3777499999999998</v>
      </c>
      <c r="R61" s="6">
        <f t="shared" si="16"/>
        <v>97.523076923076928</v>
      </c>
      <c r="T61" s="15"/>
      <c r="U61" s="63"/>
    </row>
    <row r="62" spans="1:21" x14ac:dyDescent="0.25">
      <c r="A62" s="8" t="s">
        <v>91</v>
      </c>
      <c r="B62" s="12" t="str">
        <f>VLOOKUP(A62,concorrenti!A:B,2,1)</f>
        <v>VALTELLINA</v>
      </c>
      <c r="C62" s="76">
        <f>VLOOKUP(A62,concorrenti!A:E,5,0)</f>
        <v>0</v>
      </c>
      <c r="D62" t="s">
        <v>128</v>
      </c>
      <c r="E62" t="s">
        <v>133</v>
      </c>
      <c r="F62">
        <v>1963</v>
      </c>
      <c r="H62">
        <v>8065</v>
      </c>
      <c r="I62" s="4">
        <f t="shared" si="7"/>
        <v>1.63</v>
      </c>
      <c r="J62" s="4">
        <f t="shared" si="8"/>
        <v>13145.949999999999</v>
      </c>
      <c r="L62">
        <v>51</v>
      </c>
      <c r="M62">
        <f>VLOOKUP(L62,Regolamento!A:B,2,0)</f>
        <v>0.5</v>
      </c>
      <c r="N62" s="4">
        <f t="shared" si="13"/>
        <v>1.65</v>
      </c>
      <c r="O62" s="4">
        <f t="shared" si="14"/>
        <v>1.67</v>
      </c>
      <c r="P62" s="15">
        <f t="shared" si="15"/>
        <v>1.3777499999999998</v>
      </c>
      <c r="R62" s="6">
        <f t="shared" si="16"/>
        <v>124.07692307692308</v>
      </c>
      <c r="T62" s="15"/>
      <c r="U62" s="63"/>
    </row>
    <row r="63" spans="1:21" x14ac:dyDescent="0.25">
      <c r="A63" s="106" t="s">
        <v>458</v>
      </c>
      <c r="B63" s="12" t="str">
        <f>VLOOKUP(A63,concorrenti!A:B,2,1)</f>
        <v>GAMS</v>
      </c>
      <c r="C63" s="76">
        <f>VLOOKUP(A63,concorrenti!A:E,5,0)</f>
        <v>0</v>
      </c>
      <c r="D63" t="s">
        <v>136</v>
      </c>
      <c r="E63">
        <v>2000</v>
      </c>
      <c r="F63">
        <v>1972</v>
      </c>
      <c r="H63">
        <v>7880</v>
      </c>
      <c r="I63" s="4">
        <f t="shared" si="7"/>
        <v>1.72</v>
      </c>
      <c r="J63" s="4">
        <f t="shared" si="8"/>
        <v>13553.6</v>
      </c>
      <c r="L63">
        <v>52</v>
      </c>
      <c r="M63">
        <f>VLOOKUP(L63,Regolamento!A:B,2,0)</f>
        <v>0.5</v>
      </c>
      <c r="N63" s="4">
        <f t="shared" si="13"/>
        <v>1.65</v>
      </c>
      <c r="O63" s="4">
        <f t="shared" si="14"/>
        <v>1.67</v>
      </c>
      <c r="P63" s="15">
        <f t="shared" si="15"/>
        <v>1.3777499999999998</v>
      </c>
      <c r="R63" s="6">
        <f t="shared" si="16"/>
        <v>121.23076923076923</v>
      </c>
      <c r="U63" s="63"/>
    </row>
    <row r="64" spans="1:21" x14ac:dyDescent="0.25">
      <c r="A64" s="8" t="s">
        <v>92</v>
      </c>
      <c r="B64" s="12" t="str">
        <f>VLOOKUP(A64,concorrenti!A:B,2,1)</f>
        <v>VAMS</v>
      </c>
      <c r="C64" s="76">
        <f>VLOOKUP(A64,concorrenti!A:E,5,0)</f>
        <v>0</v>
      </c>
      <c r="D64" t="s">
        <v>134</v>
      </c>
      <c r="E64" t="s">
        <v>143</v>
      </c>
      <c r="F64">
        <v>1975</v>
      </c>
      <c r="G64" s="8"/>
      <c r="H64">
        <v>9918</v>
      </c>
      <c r="I64" s="4">
        <f t="shared" si="7"/>
        <v>1.75</v>
      </c>
      <c r="J64" s="4">
        <f t="shared" si="8"/>
        <v>17356.5</v>
      </c>
      <c r="L64">
        <v>53</v>
      </c>
      <c r="M64">
        <f>VLOOKUP(L64,Regolamento!A:B,2,0)</f>
        <v>0.5</v>
      </c>
      <c r="N64" s="4">
        <f t="shared" si="13"/>
        <v>1.65</v>
      </c>
      <c r="O64" s="4">
        <f t="shared" si="14"/>
        <v>1.67</v>
      </c>
      <c r="P64" s="15">
        <f t="shared" si="15"/>
        <v>1.3777499999999998</v>
      </c>
      <c r="R64" s="6">
        <f t="shared" si="16"/>
        <v>152.58461538461538</v>
      </c>
      <c r="T64" s="15"/>
      <c r="U64" s="63"/>
    </row>
    <row r="65" spans="1:22" x14ac:dyDescent="0.25">
      <c r="A65" s="8" t="s">
        <v>94</v>
      </c>
      <c r="B65" s="12" t="str">
        <f>VLOOKUP(A65,concorrenti!A:B,2,1)</f>
        <v>VALTELLINA</v>
      </c>
      <c r="C65" s="76">
        <f>VLOOKUP(A65,concorrenti!A:E,5,0)</f>
        <v>0</v>
      </c>
      <c r="D65" t="s">
        <v>163</v>
      </c>
      <c r="E65" t="s">
        <v>168</v>
      </c>
      <c r="F65">
        <v>2002</v>
      </c>
      <c r="H65">
        <v>17112</v>
      </c>
      <c r="I65" s="4">
        <f t="shared" si="7"/>
        <v>1.02</v>
      </c>
      <c r="J65" s="4">
        <f t="shared" si="8"/>
        <v>17454.240000000002</v>
      </c>
      <c r="L65">
        <v>54</v>
      </c>
      <c r="M65">
        <f>VLOOKUP(L65,Regolamento!A:B,2,0)</f>
        <v>0.5</v>
      </c>
      <c r="N65" s="4">
        <f t="shared" si="13"/>
        <v>1.65</v>
      </c>
      <c r="O65" s="4">
        <f t="shared" si="14"/>
        <v>1.67</v>
      </c>
      <c r="P65" s="15">
        <f t="shared" si="15"/>
        <v>1.3777499999999998</v>
      </c>
      <c r="R65" s="6">
        <f t="shared" si="16"/>
        <v>263.26153846153846</v>
      </c>
      <c r="T65" s="15"/>
      <c r="U65" s="63"/>
    </row>
    <row r="66" spans="1:22" x14ac:dyDescent="0.25">
      <c r="A66" s="8" t="s">
        <v>394</v>
      </c>
      <c r="B66" s="12" t="str">
        <f>VLOOKUP(A66,concorrenti!A:B,2,1)</f>
        <v>GAMS</v>
      </c>
      <c r="C66" s="76">
        <f>VLOOKUP(A66,concorrenti!A:E,5,0)</f>
        <v>0</v>
      </c>
      <c r="D66" t="s">
        <v>128</v>
      </c>
      <c r="E66" t="s">
        <v>551</v>
      </c>
      <c r="F66">
        <v>1960</v>
      </c>
      <c r="H66">
        <v>13279</v>
      </c>
      <c r="I66" s="4">
        <f t="shared" si="7"/>
        <v>1.6</v>
      </c>
      <c r="J66" s="4">
        <f t="shared" si="8"/>
        <v>21246.400000000001</v>
      </c>
      <c r="L66">
        <v>55</v>
      </c>
      <c r="M66">
        <f>VLOOKUP(L66,Regolamento!A:B,2,0)</f>
        <v>0.5</v>
      </c>
      <c r="N66" s="4">
        <f t="shared" si="13"/>
        <v>1.65</v>
      </c>
      <c r="O66" s="4">
        <f t="shared" si="14"/>
        <v>1.67</v>
      </c>
      <c r="P66" s="15">
        <f t="shared" si="15"/>
        <v>1.3777499999999998</v>
      </c>
      <c r="R66" s="6">
        <f t="shared" si="16"/>
        <v>204.2923076923077</v>
      </c>
      <c r="U66" s="63"/>
    </row>
    <row r="67" spans="1:22" x14ac:dyDescent="0.25">
      <c r="A67" s="8" t="s">
        <v>93</v>
      </c>
      <c r="B67" s="12" t="str">
        <f>VLOOKUP(A67,concorrenti!A:B,2,1)</f>
        <v>VALTELLINA</v>
      </c>
      <c r="C67" s="76">
        <f>VLOOKUP(A67,concorrenti!A:E,5,0)</f>
        <v>0</v>
      </c>
      <c r="D67" t="s">
        <v>136</v>
      </c>
      <c r="E67" t="s">
        <v>167</v>
      </c>
      <c r="F67">
        <v>1998</v>
      </c>
      <c r="H67">
        <v>12212</v>
      </c>
      <c r="I67" s="4">
        <f t="shared" si="7"/>
        <v>1.98</v>
      </c>
      <c r="J67" s="4">
        <f t="shared" si="8"/>
        <v>24179.759999999998</v>
      </c>
      <c r="L67">
        <v>56</v>
      </c>
      <c r="M67">
        <f>VLOOKUP(L67,Regolamento!A:B,2,0)</f>
        <v>0.5</v>
      </c>
      <c r="N67" s="4">
        <f t="shared" si="13"/>
        <v>1.65</v>
      </c>
      <c r="O67" s="4">
        <f t="shared" si="14"/>
        <v>1.67</v>
      </c>
      <c r="P67" s="15">
        <f t="shared" si="15"/>
        <v>1.3777499999999998</v>
      </c>
      <c r="R67" s="6">
        <f t="shared" si="16"/>
        <v>187.87692307692308</v>
      </c>
      <c r="T67" s="15"/>
      <c r="U67" s="63"/>
    </row>
    <row r="68" spans="1:22" x14ac:dyDescent="0.25">
      <c r="A68" s="8" t="s">
        <v>392</v>
      </c>
      <c r="B68" s="12" t="str">
        <f>VLOOKUP(A68,concorrenti!A:B,2,1)</f>
        <v>GAMS</v>
      </c>
      <c r="C68" s="76">
        <f>VLOOKUP(A68,concorrenti!A:E,5,0)</f>
        <v>0</v>
      </c>
      <c r="D68" t="s">
        <v>237</v>
      </c>
      <c r="E68" t="s">
        <v>552</v>
      </c>
      <c r="F68">
        <v>1994</v>
      </c>
      <c r="H68">
        <v>16088</v>
      </c>
      <c r="I68" s="4">
        <f t="shared" si="7"/>
        <v>1.94</v>
      </c>
      <c r="J68" s="4">
        <f t="shared" si="8"/>
        <v>31210.719999999998</v>
      </c>
      <c r="L68">
        <v>57</v>
      </c>
      <c r="M68">
        <f>VLOOKUP(L68,Regolamento!A:B,2,0)</f>
        <v>0.5</v>
      </c>
      <c r="N68" s="4">
        <f t="shared" si="13"/>
        <v>1.65</v>
      </c>
      <c r="O68" s="4">
        <f t="shared" si="14"/>
        <v>1.67</v>
      </c>
      <c r="P68" s="15">
        <f t="shared" si="15"/>
        <v>1.3777499999999998</v>
      </c>
      <c r="R68" s="6">
        <f t="shared" si="16"/>
        <v>247.50769230769231</v>
      </c>
      <c r="U68" s="63"/>
      <c r="V68" s="63"/>
    </row>
    <row r="69" spans="1:22" x14ac:dyDescent="0.25">
      <c r="V69" s="63"/>
    </row>
    <row r="70" spans="1:22" x14ac:dyDescent="0.25">
      <c r="P70" s="6">
        <f>SUM(P12:P69)</f>
        <v>2338.0417500000017</v>
      </c>
      <c r="V70" s="63"/>
    </row>
    <row r="71" spans="1:22" x14ac:dyDescent="0.25">
      <c r="P71" s="6">
        <f>+P70-Generale!G3</f>
        <v>0</v>
      </c>
      <c r="V71" s="63"/>
    </row>
    <row r="72" spans="1:22" x14ac:dyDescent="0.25">
      <c r="P72" s="6">
        <f>+P70-120.86</f>
        <v>2217.1817500000016</v>
      </c>
      <c r="V72" s="63"/>
    </row>
    <row r="73" spans="1:22" x14ac:dyDescent="0.25">
      <c r="V73" s="63"/>
    </row>
    <row r="74" spans="1:22" x14ac:dyDescent="0.25">
      <c r="V74" s="63"/>
    </row>
    <row r="75" spans="1:22" x14ac:dyDescent="0.25">
      <c r="V75" s="63"/>
    </row>
    <row r="78" spans="1:22" x14ac:dyDescent="0.25">
      <c r="U78" s="6">
        <f>SUM(U12:U77)</f>
        <v>0</v>
      </c>
    </row>
  </sheetData>
  <sheetProtection algorithmName="SHA-512" hashValue="xgAI9dcBMkuH2QJoFaW80iPE1FkerrLWMQ8Vpub7lExLwpwfFSZHk/bIjB2sVfy63I+Yhr1PCbm2Sc/N4g2HVw==" saltValue="SyAiaZKmenObQJwQ6SMnLg==" spinCount="100000" sheet="1" objects="1" scenarios="1"/>
  <sortState xmlns:xlrd2="http://schemas.microsoft.com/office/spreadsheetml/2017/richdata2" ref="A12:J68">
    <sortCondition ref="J12:J68"/>
  </sortState>
  <mergeCells count="3">
    <mergeCell ref="N8:O8"/>
    <mergeCell ref="H1:P1"/>
    <mergeCell ref="H8:J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V70"/>
  <sheetViews>
    <sheetView workbookViewId="0">
      <selection activeCell="Y28" sqref="Y28"/>
    </sheetView>
  </sheetViews>
  <sheetFormatPr defaultRowHeight="15" x14ac:dyDescent="0.25"/>
  <cols>
    <col min="1" max="1" width="25.140625" bestFit="1" customWidth="1"/>
    <col min="2" max="2" width="20.5703125" bestFit="1" customWidth="1"/>
    <col min="3" max="3" width="7.85546875" style="12" bestFit="1" customWidth="1"/>
    <col min="4" max="4" width="13.7109375" bestFit="1" customWidth="1"/>
    <col min="5" max="5" width="24.28515625" bestFit="1" customWidth="1"/>
    <col min="6" max="6" width="5.42578125" bestFit="1" customWidth="1"/>
    <col min="7" max="7" width="2.5703125" customWidth="1"/>
    <col min="8" max="8" width="7.85546875" bestFit="1" customWidth="1"/>
    <col min="9" max="9" width="6" style="13" bestFit="1" customWidth="1"/>
    <col min="10" max="10" width="10.5703125" bestFit="1" customWidth="1"/>
    <col min="11" max="11" width="2.42578125" customWidth="1"/>
    <col min="12" max="12" width="5.7109375" bestFit="1" customWidth="1"/>
    <col min="13" max="13" width="5.42578125" bestFit="1" customWidth="1"/>
    <col min="14" max="14" width="5.85546875" bestFit="1" customWidth="1"/>
    <col min="15" max="15" width="8" style="6" bestFit="1" customWidth="1"/>
    <col min="16" max="16" width="9.5703125" bestFit="1" customWidth="1"/>
    <col min="17" max="17" width="3.28515625" customWidth="1"/>
    <col min="18" max="18" width="8" bestFit="1" customWidth="1"/>
    <col min="19" max="19" width="4.5703125" customWidth="1"/>
    <col min="20" max="20" width="18.140625" bestFit="1" customWidth="1"/>
    <col min="21" max="21" width="9" style="4"/>
    <col min="22" max="22" width="2.85546875" bestFit="1" customWidth="1"/>
  </cols>
  <sheetData>
    <row r="1" spans="1:22" ht="15.6" x14ac:dyDescent="0.25">
      <c r="A1" t="s">
        <v>47</v>
      </c>
      <c r="G1" s="141" t="s">
        <v>101</v>
      </c>
      <c r="H1" s="141"/>
      <c r="I1" s="141"/>
      <c r="J1" s="141"/>
      <c r="K1" s="141"/>
      <c r="L1" s="141"/>
      <c r="M1" s="141"/>
      <c r="N1" s="141"/>
      <c r="O1" s="141"/>
      <c r="T1" t="s">
        <v>99</v>
      </c>
      <c r="U1" s="4">
        <v>507.87</v>
      </c>
      <c r="V1">
        <v>15</v>
      </c>
    </row>
    <row r="2" spans="1:22" ht="14.25" x14ac:dyDescent="0.25">
      <c r="A2" t="s">
        <v>48</v>
      </c>
      <c r="E2" s="35">
        <v>45011</v>
      </c>
      <c r="I2" s="11"/>
      <c r="N2" s="6"/>
      <c r="T2" t="s">
        <v>175</v>
      </c>
      <c r="U2" s="4">
        <v>429.5</v>
      </c>
      <c r="V2">
        <v>12</v>
      </c>
    </row>
    <row r="3" spans="1:22" ht="14.25" x14ac:dyDescent="0.25">
      <c r="A3" t="s">
        <v>65</v>
      </c>
      <c r="E3" s="35" t="s">
        <v>102</v>
      </c>
      <c r="G3" t="s">
        <v>296</v>
      </c>
      <c r="I3" s="11"/>
      <c r="N3" s="6"/>
      <c r="T3" t="s">
        <v>68</v>
      </c>
      <c r="U3" s="4">
        <v>310.37</v>
      </c>
      <c r="V3">
        <v>10</v>
      </c>
    </row>
    <row r="4" spans="1:22" ht="14.25" x14ac:dyDescent="0.25">
      <c r="A4" t="s">
        <v>52</v>
      </c>
      <c r="E4" s="1" t="s">
        <v>298</v>
      </c>
      <c r="I4" s="11"/>
      <c r="N4" s="6"/>
      <c r="T4" t="s">
        <v>66</v>
      </c>
      <c r="U4" s="4">
        <v>299.39</v>
      </c>
      <c r="V4">
        <v>8</v>
      </c>
    </row>
    <row r="5" spans="1:22" ht="14.25" x14ac:dyDescent="0.25">
      <c r="A5" t="s">
        <v>50</v>
      </c>
      <c r="E5" s="1">
        <v>65</v>
      </c>
      <c r="I5" s="11"/>
      <c r="N5" s="6"/>
      <c r="T5" t="s">
        <v>98</v>
      </c>
      <c r="U5" s="4">
        <v>219.45</v>
      </c>
      <c r="V5">
        <v>7</v>
      </c>
    </row>
    <row r="6" spans="1:22" ht="14.25" x14ac:dyDescent="0.25">
      <c r="A6" t="s">
        <v>51</v>
      </c>
      <c r="E6" s="1">
        <v>90</v>
      </c>
      <c r="I6" s="11"/>
      <c r="N6" s="6"/>
      <c r="T6" t="s">
        <v>170</v>
      </c>
      <c r="U6" s="4">
        <v>210.05</v>
      </c>
      <c r="V6">
        <v>6</v>
      </c>
    </row>
    <row r="7" spans="1:22" ht="14.25" x14ac:dyDescent="0.25">
      <c r="I7" s="1"/>
      <c r="J7" s="11"/>
      <c r="P7" s="6"/>
      <c r="T7" t="s">
        <v>376</v>
      </c>
      <c r="U7" s="4">
        <v>119.13</v>
      </c>
      <c r="V7">
        <v>5</v>
      </c>
    </row>
    <row r="8" spans="1:22" x14ac:dyDescent="0.25">
      <c r="A8" s="36" t="s">
        <v>44</v>
      </c>
      <c r="B8" s="96" t="s">
        <v>483</v>
      </c>
      <c r="C8" s="74" t="s">
        <v>46</v>
      </c>
      <c r="D8" s="18" t="s">
        <v>55</v>
      </c>
      <c r="E8" s="18" t="s">
        <v>56</v>
      </c>
      <c r="F8" s="19" t="s">
        <v>57</v>
      </c>
      <c r="H8" s="142" t="s">
        <v>53</v>
      </c>
      <c r="I8" s="140"/>
      <c r="J8" s="143"/>
      <c r="K8" s="2"/>
      <c r="L8" s="27" t="s">
        <v>54</v>
      </c>
      <c r="M8" s="30"/>
      <c r="N8" s="140" t="s">
        <v>8</v>
      </c>
      <c r="O8" s="140"/>
      <c r="P8" s="31"/>
      <c r="T8" t="s">
        <v>171</v>
      </c>
      <c r="U8" s="4">
        <v>75.239999999999995</v>
      </c>
      <c r="V8">
        <v>4</v>
      </c>
    </row>
    <row r="9" spans="1:22" ht="14.25" x14ac:dyDescent="0.25">
      <c r="H9" s="20" t="s">
        <v>36</v>
      </c>
      <c r="I9" s="21" t="s">
        <v>38</v>
      </c>
      <c r="J9" s="22" t="s">
        <v>0</v>
      </c>
      <c r="K9" s="7"/>
      <c r="L9" s="28"/>
      <c r="M9" s="20" t="s">
        <v>0</v>
      </c>
      <c r="N9" s="21" t="s">
        <v>9</v>
      </c>
      <c r="O9" s="21" t="s">
        <v>5</v>
      </c>
      <c r="P9" s="22" t="s">
        <v>11</v>
      </c>
      <c r="T9" t="s">
        <v>100</v>
      </c>
      <c r="U9" s="4">
        <v>72.11</v>
      </c>
      <c r="V9">
        <v>3</v>
      </c>
    </row>
    <row r="10" spans="1:22" ht="14.25" x14ac:dyDescent="0.25">
      <c r="H10" s="23" t="s">
        <v>37</v>
      </c>
      <c r="I10" s="24"/>
      <c r="J10" s="25" t="s">
        <v>39</v>
      </c>
      <c r="K10" s="6"/>
      <c r="L10" s="29"/>
      <c r="M10" s="34"/>
      <c r="N10" s="24"/>
      <c r="O10" s="24"/>
      <c r="P10" s="25"/>
      <c r="T10" t="s">
        <v>172</v>
      </c>
      <c r="U10" s="4">
        <v>56.43</v>
      </c>
      <c r="V10">
        <v>2</v>
      </c>
    </row>
    <row r="11" spans="1:22" ht="14.25" x14ac:dyDescent="0.25">
      <c r="I11" s="4"/>
      <c r="J11" s="13"/>
      <c r="O11"/>
      <c r="P11" s="6"/>
      <c r="R11" s="3" t="s">
        <v>169</v>
      </c>
    </row>
    <row r="12" spans="1:22" ht="14.25" x14ac:dyDescent="0.25">
      <c r="A12" t="s">
        <v>222</v>
      </c>
      <c r="B12" s="12" t="str">
        <f>VLOOKUP(A12,concorrenti!A:B,2,1)</f>
        <v>VCC COMO</v>
      </c>
      <c r="C12" s="12">
        <f>VLOOKUP(A12,concorrenti!A:E,5,1)</f>
        <v>0</v>
      </c>
      <c r="D12" t="s">
        <v>121</v>
      </c>
      <c r="E12" t="s">
        <v>273</v>
      </c>
      <c r="F12" s="73">
        <v>1956</v>
      </c>
      <c r="H12">
        <v>188</v>
      </c>
      <c r="I12" s="4">
        <f t="shared" ref="I12:I43" si="0">IF(C12&lt;&gt;0,((1+RIGHT(F12,2)/100)-0.1),(1+RIGHT(F12,2)/100))</f>
        <v>1.56</v>
      </c>
      <c r="J12" s="14">
        <f t="shared" ref="J12:J43" si="1">+H12*I12</f>
        <v>293.28000000000003</v>
      </c>
      <c r="K12" s="5"/>
      <c r="L12">
        <v>1</v>
      </c>
      <c r="M12">
        <f>VLOOKUP(L12,Regolamento!A:B,2,0)</f>
        <v>50</v>
      </c>
      <c r="N12" s="4">
        <f t="shared" ref="N12:N43" si="2">1+E$5/100</f>
        <v>1.65</v>
      </c>
      <c r="O12" s="4">
        <f t="shared" ref="O12:O43" si="3">1+E$6/100</f>
        <v>1.9</v>
      </c>
      <c r="P12" s="6">
        <f>IF(H12&lt;&gt;0,+M12*N12*O12,0)</f>
        <v>156.75</v>
      </c>
      <c r="R12" s="6">
        <f>+H12/E$5</f>
        <v>2.8923076923076922</v>
      </c>
    </row>
    <row r="13" spans="1:22" x14ac:dyDescent="0.25">
      <c r="A13" t="s">
        <v>190</v>
      </c>
      <c r="B13" s="12" t="str">
        <f>VLOOKUP(A13,concorrenti!A:B,2,1)</f>
        <v>CASTELLOTTI</v>
      </c>
      <c r="C13" s="12" t="str">
        <f>VLOOKUP(A13,concorrenti!A:E,5,1)</f>
        <v>X</v>
      </c>
      <c r="D13" t="s">
        <v>121</v>
      </c>
      <c r="E13" t="s">
        <v>249</v>
      </c>
      <c r="F13">
        <v>1969</v>
      </c>
      <c r="G13" s="5"/>
      <c r="H13">
        <v>253</v>
      </c>
      <c r="I13" s="4">
        <f t="shared" si="0"/>
        <v>1.5899999999999999</v>
      </c>
      <c r="J13" s="14">
        <f t="shared" si="1"/>
        <v>402.27</v>
      </c>
      <c r="K13" s="5"/>
      <c r="L13">
        <v>2</v>
      </c>
      <c r="M13">
        <f>VLOOKUP(L13,Regolamento!A:B,2,0)</f>
        <v>45</v>
      </c>
      <c r="N13" s="4">
        <f t="shared" si="2"/>
        <v>1.65</v>
      </c>
      <c r="O13" s="4">
        <f t="shared" si="3"/>
        <v>1.9</v>
      </c>
      <c r="P13" s="6">
        <f t="shared" ref="P13:P44" si="4">IF(H13&lt;&gt;0,+M13*N13*O13,0)</f>
        <v>141.07499999999999</v>
      </c>
      <c r="R13" s="6">
        <f t="shared" ref="R13:R66" si="5">+H13/E$5</f>
        <v>3.8923076923076922</v>
      </c>
      <c r="U13"/>
    </row>
    <row r="14" spans="1:22" x14ac:dyDescent="0.25">
      <c r="A14" t="s">
        <v>217</v>
      </c>
      <c r="B14" s="12" t="str">
        <f>VLOOKUP(A14,concorrenti!A:B,2,1)</f>
        <v>OROBICO</v>
      </c>
      <c r="C14" s="12" t="str">
        <f>VLOOKUP(A14,concorrenti!A:E,5,1)</f>
        <v>X</v>
      </c>
      <c r="D14" t="s">
        <v>232</v>
      </c>
      <c r="E14" t="s">
        <v>282</v>
      </c>
      <c r="F14">
        <v>1972</v>
      </c>
      <c r="H14">
        <v>261</v>
      </c>
      <c r="I14" s="4">
        <f t="shared" si="0"/>
        <v>1.6199999999999999</v>
      </c>
      <c r="J14" s="14">
        <f t="shared" si="1"/>
        <v>422.82</v>
      </c>
      <c r="K14" s="5"/>
      <c r="L14">
        <v>3</v>
      </c>
      <c r="M14">
        <f>VLOOKUP(L14,Regolamento!A:B,2,0)</f>
        <v>41</v>
      </c>
      <c r="N14" s="4">
        <f t="shared" si="2"/>
        <v>1.65</v>
      </c>
      <c r="O14" s="4">
        <f t="shared" si="3"/>
        <v>1.9</v>
      </c>
      <c r="P14" s="6">
        <f t="shared" si="4"/>
        <v>128.53499999999997</v>
      </c>
      <c r="R14" s="6">
        <f t="shared" si="5"/>
        <v>4.0153846153846153</v>
      </c>
      <c r="U14"/>
    </row>
    <row r="15" spans="1:22" x14ac:dyDescent="0.25">
      <c r="A15" t="s">
        <v>398</v>
      </c>
      <c r="B15" s="12" t="str">
        <f>VLOOKUP(A15,concorrenti!A:B,2,1)</f>
        <v>GAMS</v>
      </c>
      <c r="C15" s="12">
        <f>VLOOKUP(A15,concorrenti!A:E,5,1)</f>
        <v>0</v>
      </c>
      <c r="D15" t="s">
        <v>121</v>
      </c>
      <c r="E15" t="s">
        <v>323</v>
      </c>
      <c r="F15">
        <v>1995</v>
      </c>
      <c r="H15">
        <v>229</v>
      </c>
      <c r="I15" s="4">
        <f t="shared" si="0"/>
        <v>1.95</v>
      </c>
      <c r="J15" s="14">
        <f t="shared" si="1"/>
        <v>446.55</v>
      </c>
      <c r="K15" s="5"/>
      <c r="L15">
        <v>4</v>
      </c>
      <c r="M15">
        <f>VLOOKUP(L15,Regolamento!A:B,2,0)</f>
        <v>38</v>
      </c>
      <c r="N15" s="4">
        <f t="shared" si="2"/>
        <v>1.65</v>
      </c>
      <c r="O15" s="4">
        <f t="shared" si="3"/>
        <v>1.9</v>
      </c>
      <c r="P15" s="6">
        <f>IF(H15&lt;&gt;0,+M15*N15*O15,0)</f>
        <v>119.12999999999998</v>
      </c>
      <c r="R15" s="6">
        <f t="shared" si="5"/>
        <v>3.523076923076923</v>
      </c>
      <c r="U15"/>
    </row>
    <row r="16" spans="1:22" x14ac:dyDescent="0.25">
      <c r="A16" t="s">
        <v>21</v>
      </c>
      <c r="B16" s="12" t="str">
        <f>VLOOKUP(A16,concorrenti!A:B,2,1)</f>
        <v>CAVEM</v>
      </c>
      <c r="C16" s="12">
        <f>VLOOKUP(A16,concorrenti!A:E,5,1)</f>
        <v>0</v>
      </c>
      <c r="D16" t="s">
        <v>121</v>
      </c>
      <c r="E16" t="s">
        <v>275</v>
      </c>
      <c r="F16">
        <v>1972</v>
      </c>
      <c r="G16" s="5"/>
      <c r="H16">
        <f>314-21</f>
        <v>293</v>
      </c>
      <c r="I16" s="4">
        <f t="shared" si="0"/>
        <v>1.72</v>
      </c>
      <c r="J16" s="14">
        <f t="shared" si="1"/>
        <v>503.96</v>
      </c>
      <c r="K16" s="9"/>
      <c r="L16">
        <v>5</v>
      </c>
      <c r="M16">
        <f>VLOOKUP(L16,Regolamento!A:B,2,0)</f>
        <v>36</v>
      </c>
      <c r="N16" s="4">
        <f t="shared" si="2"/>
        <v>1.65</v>
      </c>
      <c r="O16" s="4">
        <f t="shared" si="3"/>
        <v>1.9</v>
      </c>
      <c r="P16" s="6">
        <f>IF(H16&lt;&gt;0,+M16*N16*O16,0)</f>
        <v>112.85999999999999</v>
      </c>
      <c r="R16" s="6">
        <f t="shared" si="5"/>
        <v>4.5076923076923077</v>
      </c>
      <c r="U16"/>
    </row>
    <row r="17" spans="1:21" x14ac:dyDescent="0.25">
      <c r="A17" t="s">
        <v>12</v>
      </c>
      <c r="B17" s="12" t="str">
        <f>VLOOKUP(A17,concorrenti!A:B,2,1)</f>
        <v>VAMS</v>
      </c>
      <c r="C17" s="12">
        <f>VLOOKUP(A17,concorrenti!A:E,5,1)</f>
        <v>0</v>
      </c>
      <c r="D17" t="s">
        <v>236</v>
      </c>
      <c r="E17" t="s">
        <v>160</v>
      </c>
      <c r="F17">
        <v>1960</v>
      </c>
      <c r="H17">
        <f>343-11</f>
        <v>332</v>
      </c>
      <c r="I17" s="4">
        <f t="shared" si="0"/>
        <v>1.6</v>
      </c>
      <c r="J17" s="14">
        <f t="shared" si="1"/>
        <v>531.20000000000005</v>
      </c>
      <c r="K17" s="5"/>
      <c r="L17">
        <v>6</v>
      </c>
      <c r="M17">
        <f>VLOOKUP(L17,Regolamento!A:B,2,0)</f>
        <v>35</v>
      </c>
      <c r="N17" s="4">
        <f t="shared" si="2"/>
        <v>1.65</v>
      </c>
      <c r="O17" s="4">
        <f t="shared" si="3"/>
        <v>1.9</v>
      </c>
      <c r="P17" s="6">
        <f t="shared" si="4"/>
        <v>109.72499999999999</v>
      </c>
      <c r="R17" s="6">
        <f t="shared" si="5"/>
        <v>5.1076923076923073</v>
      </c>
      <c r="U17"/>
    </row>
    <row r="18" spans="1:21" x14ac:dyDescent="0.25">
      <c r="A18" t="s">
        <v>70</v>
      </c>
      <c r="B18" s="12" t="str">
        <f>VLOOKUP(A18,concorrenti!A:B,2,1)</f>
        <v>CAVEM</v>
      </c>
      <c r="C18" s="12">
        <f>VLOOKUP(A18,concorrenti!A:E,5,1)</f>
        <v>0</v>
      </c>
      <c r="D18" t="s">
        <v>242</v>
      </c>
      <c r="E18" t="s">
        <v>276</v>
      </c>
      <c r="F18">
        <v>1974</v>
      </c>
      <c r="G18" s="5"/>
      <c r="H18">
        <f>325-8</f>
        <v>317</v>
      </c>
      <c r="I18" s="4">
        <f t="shared" si="0"/>
        <v>1.74</v>
      </c>
      <c r="J18" s="14">
        <f t="shared" si="1"/>
        <v>551.58000000000004</v>
      </c>
      <c r="K18" s="5"/>
      <c r="L18">
        <v>7</v>
      </c>
      <c r="M18">
        <f>VLOOKUP(L18,Regolamento!A:B,2,0)</f>
        <v>34</v>
      </c>
      <c r="N18" s="4">
        <f t="shared" si="2"/>
        <v>1.65</v>
      </c>
      <c r="O18" s="4">
        <f t="shared" si="3"/>
        <v>1.9</v>
      </c>
      <c r="P18" s="6">
        <f t="shared" si="4"/>
        <v>106.58999999999999</v>
      </c>
      <c r="R18" s="6">
        <f t="shared" si="5"/>
        <v>4.8769230769230774</v>
      </c>
      <c r="U18"/>
    </row>
    <row r="19" spans="1:21" x14ac:dyDescent="0.25">
      <c r="A19" t="s">
        <v>209</v>
      </c>
      <c r="B19" s="12" t="str">
        <f>VLOOKUP(A19,concorrenti!A:B,2,1)</f>
        <v>AMAMS</v>
      </c>
      <c r="C19" s="12">
        <f>VLOOKUP(A19,concorrenti!A:E,5,1)</f>
        <v>0</v>
      </c>
      <c r="D19" t="s">
        <v>121</v>
      </c>
      <c r="E19" t="s">
        <v>273</v>
      </c>
      <c r="F19">
        <v>1953</v>
      </c>
      <c r="G19" s="5"/>
      <c r="H19">
        <f>382-5</f>
        <v>377</v>
      </c>
      <c r="I19" s="4">
        <f t="shared" si="0"/>
        <v>1.53</v>
      </c>
      <c r="J19" s="14">
        <f t="shared" si="1"/>
        <v>576.81000000000006</v>
      </c>
      <c r="K19" s="5"/>
      <c r="L19">
        <v>8</v>
      </c>
      <c r="M19">
        <f>VLOOKUP(L19,Regolamento!A:B,2,0)</f>
        <v>33</v>
      </c>
      <c r="N19" s="4">
        <f t="shared" si="2"/>
        <v>1.65</v>
      </c>
      <c r="O19" s="4">
        <f t="shared" si="3"/>
        <v>1.9</v>
      </c>
      <c r="P19" s="6">
        <f t="shared" si="4"/>
        <v>103.45499999999998</v>
      </c>
      <c r="R19" s="6">
        <f t="shared" si="5"/>
        <v>5.8</v>
      </c>
      <c r="U19"/>
    </row>
    <row r="20" spans="1:21" x14ac:dyDescent="0.25">
      <c r="A20" t="s">
        <v>208</v>
      </c>
      <c r="B20" s="12" t="str">
        <f>VLOOKUP(A20,concorrenti!A:B,2,1)</f>
        <v>AMAMS</v>
      </c>
      <c r="C20" s="12">
        <f>VLOOKUP(A20,concorrenti!A:E,5,1)</f>
        <v>0</v>
      </c>
      <c r="D20" t="s">
        <v>151</v>
      </c>
      <c r="E20" s="70" t="s">
        <v>272</v>
      </c>
      <c r="F20" s="73">
        <v>1938</v>
      </c>
      <c r="G20" s="5"/>
      <c r="H20">
        <f>455-17</f>
        <v>438</v>
      </c>
      <c r="I20" s="4">
        <f t="shared" si="0"/>
        <v>1.38</v>
      </c>
      <c r="J20" s="14">
        <f t="shared" si="1"/>
        <v>604.43999999999994</v>
      </c>
      <c r="K20" s="5"/>
      <c r="L20">
        <v>9</v>
      </c>
      <c r="M20">
        <f>VLOOKUP(L20,Regolamento!A:B,2,0)</f>
        <v>32</v>
      </c>
      <c r="N20" s="4">
        <f t="shared" si="2"/>
        <v>1.65</v>
      </c>
      <c r="O20" s="4">
        <f t="shared" si="3"/>
        <v>1.9</v>
      </c>
      <c r="P20" s="6">
        <f t="shared" si="4"/>
        <v>100.32</v>
      </c>
      <c r="R20" s="6">
        <f t="shared" si="5"/>
        <v>6.7384615384615385</v>
      </c>
      <c r="U20"/>
    </row>
    <row r="21" spans="1:21" x14ac:dyDescent="0.25">
      <c r="A21" t="s">
        <v>76</v>
      </c>
      <c r="B21" s="12" t="str">
        <f>VLOOKUP(A21,concorrenti!A:B,2,1)</f>
        <v>CASTELLOTTI</v>
      </c>
      <c r="C21" s="12">
        <f>VLOOKUP(A21,concorrenti!A:E,5,1)</f>
        <v>0</v>
      </c>
      <c r="D21" t="s">
        <v>121</v>
      </c>
      <c r="E21" t="s">
        <v>250</v>
      </c>
      <c r="F21" s="73">
        <v>1970</v>
      </c>
      <c r="G21" s="9"/>
      <c r="H21">
        <f>391-14</f>
        <v>377</v>
      </c>
      <c r="I21" s="4">
        <f t="shared" si="0"/>
        <v>1.7</v>
      </c>
      <c r="J21" s="14">
        <f t="shared" si="1"/>
        <v>640.9</v>
      </c>
      <c r="K21" s="5"/>
      <c r="L21">
        <v>10</v>
      </c>
      <c r="M21">
        <f>VLOOKUP(L21,Regolamento!A:B,2,0)</f>
        <v>31</v>
      </c>
      <c r="N21" s="4">
        <f t="shared" si="2"/>
        <v>1.65</v>
      </c>
      <c r="O21" s="4">
        <f t="shared" si="3"/>
        <v>1.9</v>
      </c>
      <c r="P21" s="6">
        <f t="shared" si="4"/>
        <v>97.184999999999988</v>
      </c>
      <c r="R21" s="6">
        <f t="shared" si="5"/>
        <v>5.8</v>
      </c>
    </row>
    <row r="22" spans="1:21" x14ac:dyDescent="0.25">
      <c r="A22" t="s">
        <v>224</v>
      </c>
      <c r="B22" s="12" t="str">
        <f>VLOOKUP(A22,concorrenti!A:B,2,1)</f>
        <v>VCC COMO</v>
      </c>
      <c r="C22" s="12">
        <f>VLOOKUP(A22,concorrenti!A:E,5,1)</f>
        <v>0</v>
      </c>
      <c r="D22" t="s">
        <v>244</v>
      </c>
      <c r="E22" t="s">
        <v>290</v>
      </c>
      <c r="F22">
        <v>1963</v>
      </c>
      <c r="H22">
        <f>411-17</f>
        <v>394</v>
      </c>
      <c r="I22" s="4">
        <f t="shared" si="0"/>
        <v>1.63</v>
      </c>
      <c r="J22" s="14">
        <f t="shared" si="1"/>
        <v>642.21999999999991</v>
      </c>
      <c r="K22" s="5"/>
      <c r="L22">
        <v>11</v>
      </c>
      <c r="M22">
        <f>VLOOKUP(L22,Regolamento!A:B,2,0)</f>
        <v>30</v>
      </c>
      <c r="N22" s="4">
        <f t="shared" si="2"/>
        <v>1.65</v>
      </c>
      <c r="O22" s="4">
        <f t="shared" si="3"/>
        <v>1.9</v>
      </c>
      <c r="P22" s="6">
        <f t="shared" si="4"/>
        <v>94.05</v>
      </c>
      <c r="R22" s="6">
        <f t="shared" si="5"/>
        <v>6.0615384615384613</v>
      </c>
      <c r="U22"/>
    </row>
    <row r="23" spans="1:21" x14ac:dyDescent="0.25">
      <c r="A23" t="s">
        <v>69</v>
      </c>
      <c r="B23" s="12" t="str">
        <f>VLOOKUP(A23,concorrenti!A:B,2,1)</f>
        <v>CASTELLOTTI</v>
      </c>
      <c r="C23" s="12">
        <f>VLOOKUP(A23,concorrenti!A:E,5,1)</f>
        <v>0</v>
      </c>
      <c r="D23" t="s">
        <v>121</v>
      </c>
      <c r="E23" t="s">
        <v>253</v>
      </c>
      <c r="F23">
        <v>1974</v>
      </c>
      <c r="G23" s="5"/>
      <c r="H23">
        <f>385-11</f>
        <v>374</v>
      </c>
      <c r="I23" s="4">
        <f t="shared" si="0"/>
        <v>1.74</v>
      </c>
      <c r="J23" s="14">
        <f t="shared" si="1"/>
        <v>650.76</v>
      </c>
      <c r="K23" s="5"/>
      <c r="L23">
        <v>12</v>
      </c>
      <c r="M23">
        <f>VLOOKUP(L23,Regolamento!A:B,2,0)</f>
        <v>29</v>
      </c>
      <c r="N23" s="4">
        <f t="shared" si="2"/>
        <v>1.65</v>
      </c>
      <c r="O23" s="4">
        <f t="shared" si="3"/>
        <v>1.9</v>
      </c>
      <c r="P23" s="6">
        <f t="shared" si="4"/>
        <v>90.914999999999992</v>
      </c>
      <c r="R23" s="6">
        <f t="shared" si="5"/>
        <v>5.7538461538461538</v>
      </c>
      <c r="U23"/>
    </row>
    <row r="24" spans="1:21" x14ac:dyDescent="0.25">
      <c r="A24" t="s">
        <v>23</v>
      </c>
      <c r="B24" s="12" t="str">
        <f>VLOOKUP(A24,concorrenti!A:B,2,1)</f>
        <v>CASTELLOTTI</v>
      </c>
      <c r="C24" s="12">
        <f>VLOOKUP(A24,concorrenti!A:E,5,1)</f>
        <v>0</v>
      </c>
      <c r="D24" t="s">
        <v>234</v>
      </c>
      <c r="E24" t="s">
        <v>251</v>
      </c>
      <c r="F24">
        <v>1976</v>
      </c>
      <c r="G24" s="5"/>
      <c r="H24">
        <f>389-11</f>
        <v>378</v>
      </c>
      <c r="I24" s="4">
        <f t="shared" si="0"/>
        <v>1.76</v>
      </c>
      <c r="J24" s="14">
        <f t="shared" si="1"/>
        <v>665.28</v>
      </c>
      <c r="K24" s="5"/>
      <c r="L24">
        <v>13</v>
      </c>
      <c r="M24">
        <f>VLOOKUP(L24,Regolamento!A:B,2,0)</f>
        <v>28</v>
      </c>
      <c r="N24" s="4">
        <f t="shared" si="2"/>
        <v>1.65</v>
      </c>
      <c r="O24" s="4">
        <f t="shared" si="3"/>
        <v>1.9</v>
      </c>
      <c r="P24" s="6">
        <f t="shared" si="4"/>
        <v>87.779999999999987</v>
      </c>
      <c r="R24" s="6">
        <f t="shared" si="5"/>
        <v>5.8153846153846152</v>
      </c>
      <c r="U24"/>
    </row>
    <row r="25" spans="1:21" x14ac:dyDescent="0.25">
      <c r="A25" t="s">
        <v>17</v>
      </c>
      <c r="B25" s="12" t="str">
        <f>VLOOKUP(A25,concorrenti!A:B,2,1)</f>
        <v>VAMS</v>
      </c>
      <c r="C25" s="12">
        <f>VLOOKUP(A25,concorrenti!A:E,5,1)</f>
        <v>0</v>
      </c>
      <c r="D25" t="s">
        <v>236</v>
      </c>
      <c r="E25" t="s">
        <v>133</v>
      </c>
      <c r="F25">
        <f>1962-3</f>
        <v>1959</v>
      </c>
      <c r="H25">
        <v>477</v>
      </c>
      <c r="I25" s="4">
        <f t="shared" si="0"/>
        <v>1.5899999999999999</v>
      </c>
      <c r="J25" s="14">
        <f t="shared" si="1"/>
        <v>758.43</v>
      </c>
      <c r="K25" s="5"/>
      <c r="L25">
        <v>14</v>
      </c>
      <c r="M25">
        <f>VLOOKUP(L25,Regolamento!A:B,2,0)</f>
        <v>27</v>
      </c>
      <c r="N25" s="4">
        <f t="shared" si="2"/>
        <v>1.65</v>
      </c>
      <c r="O25" s="4">
        <f t="shared" si="3"/>
        <v>1.9</v>
      </c>
      <c r="P25" s="6">
        <f t="shared" si="4"/>
        <v>84.644999999999996</v>
      </c>
      <c r="R25" s="6">
        <f t="shared" si="5"/>
        <v>7.3384615384615381</v>
      </c>
    </row>
    <row r="26" spans="1:21" x14ac:dyDescent="0.25">
      <c r="A26" t="s">
        <v>225</v>
      </c>
      <c r="B26" s="12" t="str">
        <f>VLOOKUP(A26,concorrenti!A:B,2,1)</f>
        <v>VCC COMO</v>
      </c>
      <c r="C26" s="12">
        <f>VLOOKUP(A26,concorrenti!A:E,5,1)</f>
        <v>0</v>
      </c>
      <c r="D26" t="s">
        <v>235</v>
      </c>
      <c r="E26" t="s">
        <v>291</v>
      </c>
      <c r="F26">
        <v>1964</v>
      </c>
      <c r="H26">
        <f>620-26</f>
        <v>594</v>
      </c>
      <c r="I26" s="4">
        <f t="shared" si="0"/>
        <v>1.6400000000000001</v>
      </c>
      <c r="J26" s="14">
        <f t="shared" si="1"/>
        <v>974.16000000000008</v>
      </c>
      <c r="K26" s="5"/>
      <c r="L26">
        <v>15</v>
      </c>
      <c r="M26">
        <f>VLOOKUP(L26,Regolamento!A:B,2,0)</f>
        <v>26</v>
      </c>
      <c r="N26" s="4">
        <f t="shared" si="2"/>
        <v>1.65</v>
      </c>
      <c r="O26" s="4">
        <f t="shared" si="3"/>
        <v>1.9</v>
      </c>
      <c r="P26" s="6">
        <f t="shared" si="4"/>
        <v>81.509999999999991</v>
      </c>
      <c r="R26" s="6">
        <f t="shared" si="5"/>
        <v>9.138461538461538</v>
      </c>
      <c r="U26"/>
    </row>
    <row r="27" spans="1:21" x14ac:dyDescent="0.25">
      <c r="A27" t="s">
        <v>74</v>
      </c>
      <c r="B27" s="12" t="str">
        <f>VLOOKUP(A27,concorrenti!A:B,2,1)</f>
        <v>CASTELLOTTI</v>
      </c>
      <c r="C27" s="12">
        <f>VLOOKUP(A27,concorrenti!A:E,5,1)</f>
        <v>0</v>
      </c>
      <c r="D27" t="s">
        <v>230</v>
      </c>
      <c r="E27" t="s">
        <v>246</v>
      </c>
      <c r="F27">
        <v>1963</v>
      </c>
      <c r="H27">
        <f>679-29</f>
        <v>650</v>
      </c>
      <c r="I27" s="4">
        <f t="shared" si="0"/>
        <v>1.63</v>
      </c>
      <c r="J27" s="14">
        <f t="shared" si="1"/>
        <v>1059.5</v>
      </c>
      <c r="K27" s="5"/>
      <c r="L27">
        <v>16</v>
      </c>
      <c r="M27">
        <f>VLOOKUP(L27,Regolamento!A:B,2,0)</f>
        <v>25</v>
      </c>
      <c r="N27" s="4">
        <f t="shared" si="2"/>
        <v>1.65</v>
      </c>
      <c r="O27" s="4">
        <f t="shared" si="3"/>
        <v>1.9</v>
      </c>
      <c r="P27" s="6">
        <f t="shared" si="4"/>
        <v>78.375</v>
      </c>
      <c r="R27" s="6">
        <f t="shared" si="5"/>
        <v>10</v>
      </c>
      <c r="U27"/>
    </row>
    <row r="28" spans="1:21" x14ac:dyDescent="0.25">
      <c r="A28" t="s">
        <v>211</v>
      </c>
      <c r="B28" s="12" t="str">
        <f>VLOOKUP(A28,concorrenti!A:B,2,1)</f>
        <v>CAVEM</v>
      </c>
      <c r="C28" s="12" t="str">
        <f>VLOOKUP(A28,concorrenti!A:E,5,1)</f>
        <v>X</v>
      </c>
      <c r="D28" t="s">
        <v>240</v>
      </c>
      <c r="E28" t="s">
        <v>274</v>
      </c>
      <c r="F28">
        <v>1937</v>
      </c>
      <c r="G28" s="5"/>
      <c r="H28">
        <f>937-35</f>
        <v>902</v>
      </c>
      <c r="I28" s="4">
        <f t="shared" si="0"/>
        <v>1.27</v>
      </c>
      <c r="J28" s="14">
        <f t="shared" si="1"/>
        <v>1145.54</v>
      </c>
      <c r="K28" s="5"/>
      <c r="L28">
        <v>17</v>
      </c>
      <c r="M28">
        <f>VLOOKUP(L28,Regolamento!A:B,2,0)</f>
        <v>24</v>
      </c>
      <c r="N28" s="4">
        <f t="shared" si="2"/>
        <v>1.65</v>
      </c>
      <c r="O28" s="4">
        <f t="shared" si="3"/>
        <v>1.9</v>
      </c>
      <c r="P28" s="6">
        <f t="shared" si="4"/>
        <v>75.239999999999981</v>
      </c>
      <c r="R28" s="6">
        <f t="shared" si="5"/>
        <v>13.876923076923077</v>
      </c>
    </row>
    <row r="29" spans="1:21" x14ac:dyDescent="0.25">
      <c r="A29" t="s">
        <v>223</v>
      </c>
      <c r="B29" s="12" t="str">
        <f>VLOOKUP(A29,concorrenti!A:B,2,1)</f>
        <v>VCC COMO</v>
      </c>
      <c r="C29" s="12">
        <f>VLOOKUP(A29,concorrenti!A:E,5,1)</f>
        <v>0</v>
      </c>
      <c r="D29" t="s">
        <v>232</v>
      </c>
      <c r="E29" t="s">
        <v>289</v>
      </c>
      <c r="F29">
        <v>1972</v>
      </c>
      <c r="H29">
        <f>784-102</f>
        <v>682</v>
      </c>
      <c r="I29" s="4">
        <f t="shared" si="0"/>
        <v>1.72</v>
      </c>
      <c r="J29" s="14">
        <f t="shared" si="1"/>
        <v>1173.04</v>
      </c>
      <c r="K29" s="5"/>
      <c r="L29">
        <v>18</v>
      </c>
      <c r="M29">
        <f>VLOOKUP(L29,Regolamento!A:B,2,0)</f>
        <v>23</v>
      </c>
      <c r="N29" s="4">
        <f t="shared" si="2"/>
        <v>1.65</v>
      </c>
      <c r="O29" s="4">
        <f t="shared" si="3"/>
        <v>1.9</v>
      </c>
      <c r="P29" s="6">
        <f t="shared" si="4"/>
        <v>72.10499999999999</v>
      </c>
      <c r="R29" s="6">
        <f t="shared" si="5"/>
        <v>10.492307692307692</v>
      </c>
      <c r="U29"/>
    </row>
    <row r="30" spans="1:21" x14ac:dyDescent="0.25">
      <c r="A30" t="s">
        <v>214</v>
      </c>
      <c r="B30" s="12" t="str">
        <f>VLOOKUP(A30,concorrenti!A:B,2,1)</f>
        <v>CLASSIC CLUB ITALIA</v>
      </c>
      <c r="C30" s="12">
        <f>VLOOKUP(A30,concorrenti!A:E,5,1)</f>
        <v>0</v>
      </c>
      <c r="D30" t="s">
        <v>121</v>
      </c>
      <c r="E30" t="s">
        <v>279</v>
      </c>
      <c r="F30">
        <v>1975</v>
      </c>
      <c r="H30">
        <f>764-27</f>
        <v>737</v>
      </c>
      <c r="I30" s="4">
        <f t="shared" si="0"/>
        <v>1.75</v>
      </c>
      <c r="J30" s="14">
        <f t="shared" si="1"/>
        <v>1289.75</v>
      </c>
      <c r="K30" s="5"/>
      <c r="L30">
        <v>19</v>
      </c>
      <c r="M30">
        <f>VLOOKUP(L30,Regolamento!A:B,2,0)</f>
        <v>22</v>
      </c>
      <c r="N30" s="4">
        <f t="shared" si="2"/>
        <v>1.65</v>
      </c>
      <c r="O30" s="4">
        <f t="shared" si="3"/>
        <v>1.9</v>
      </c>
      <c r="P30" s="6">
        <f t="shared" si="4"/>
        <v>68.969999999999985</v>
      </c>
      <c r="R30" s="6">
        <f t="shared" si="5"/>
        <v>11.338461538461539</v>
      </c>
      <c r="U30"/>
    </row>
    <row r="31" spans="1:21" x14ac:dyDescent="0.25">
      <c r="A31" t="s">
        <v>189</v>
      </c>
      <c r="B31" s="12" t="str">
        <f>VLOOKUP(A31,concorrenti!A:B,2,1)</f>
        <v>CASTELLOTTI</v>
      </c>
      <c r="C31" s="12">
        <f>VLOOKUP(A31,concorrenti!A:E,5,1)</f>
        <v>0</v>
      </c>
      <c r="D31" t="s">
        <v>233</v>
      </c>
      <c r="E31" t="s">
        <v>248</v>
      </c>
      <c r="F31">
        <v>1929</v>
      </c>
      <c r="G31" s="5"/>
      <c r="H31">
        <f>1263-31</f>
        <v>1232</v>
      </c>
      <c r="I31" s="4">
        <f t="shared" si="0"/>
        <v>1.29</v>
      </c>
      <c r="J31" s="14">
        <f t="shared" si="1"/>
        <v>1589.28</v>
      </c>
      <c r="K31" s="5"/>
      <c r="L31">
        <v>20</v>
      </c>
      <c r="M31">
        <f>VLOOKUP(L31,Regolamento!A:B,2,0)</f>
        <v>21</v>
      </c>
      <c r="N31" s="4">
        <f t="shared" si="2"/>
        <v>1.65</v>
      </c>
      <c r="O31" s="4">
        <f t="shared" si="3"/>
        <v>1.9</v>
      </c>
      <c r="P31" s="6">
        <f t="shared" si="4"/>
        <v>65.834999999999994</v>
      </c>
      <c r="R31" s="6">
        <f t="shared" si="5"/>
        <v>18.953846153846154</v>
      </c>
      <c r="U31"/>
    </row>
    <row r="32" spans="1:21" x14ac:dyDescent="0.25">
      <c r="A32" t="s">
        <v>218</v>
      </c>
      <c r="B32" s="12" t="str">
        <f>VLOOKUP(A32,concorrenti!A:B,2,1)</f>
        <v>OROBICO</v>
      </c>
      <c r="C32" s="12">
        <f>VLOOKUP(A32,concorrenti!A:E,5,1)</f>
        <v>0</v>
      </c>
      <c r="D32" t="s">
        <v>121</v>
      </c>
      <c r="E32" t="s">
        <v>283</v>
      </c>
      <c r="F32">
        <v>1973</v>
      </c>
      <c r="H32">
        <f>964-36</f>
        <v>928</v>
      </c>
      <c r="I32" s="4">
        <f t="shared" si="0"/>
        <v>1.73</v>
      </c>
      <c r="J32" s="14">
        <f t="shared" si="1"/>
        <v>1605.44</v>
      </c>
      <c r="K32" s="5"/>
      <c r="L32">
        <v>21</v>
      </c>
      <c r="M32">
        <f>VLOOKUP(L32,Regolamento!A:B,2,0)</f>
        <v>20</v>
      </c>
      <c r="N32" s="4">
        <f t="shared" si="2"/>
        <v>1.65</v>
      </c>
      <c r="O32" s="4">
        <f t="shared" si="3"/>
        <v>1.9</v>
      </c>
      <c r="P32" s="6">
        <f t="shared" si="4"/>
        <v>62.699999999999996</v>
      </c>
      <c r="R32" s="6">
        <f t="shared" si="5"/>
        <v>14.276923076923078</v>
      </c>
      <c r="U32"/>
    </row>
    <row r="33" spans="1:21" x14ac:dyDescent="0.25">
      <c r="A33" t="s">
        <v>75</v>
      </c>
      <c r="B33" s="12" t="str">
        <f>VLOOKUP(A33,concorrenti!A:B,2,1)</f>
        <v>VAMS</v>
      </c>
      <c r="C33" s="12">
        <f>VLOOKUP(A33,concorrenti!A:E,5,1)</f>
        <v>0</v>
      </c>
      <c r="D33" t="s">
        <v>234</v>
      </c>
      <c r="E33" t="s">
        <v>287</v>
      </c>
      <c r="F33">
        <v>1972</v>
      </c>
      <c r="H33">
        <f>942-5</f>
        <v>937</v>
      </c>
      <c r="I33" s="4">
        <f t="shared" si="0"/>
        <v>1.72</v>
      </c>
      <c r="J33" s="14">
        <f t="shared" si="1"/>
        <v>1611.6399999999999</v>
      </c>
      <c r="K33" s="5"/>
      <c r="L33">
        <v>22</v>
      </c>
      <c r="M33">
        <f>VLOOKUP(L33,Regolamento!A:B,2,0)</f>
        <v>19</v>
      </c>
      <c r="N33" s="4">
        <f t="shared" si="2"/>
        <v>1.65</v>
      </c>
      <c r="O33" s="4">
        <f t="shared" si="3"/>
        <v>1.9</v>
      </c>
      <c r="P33" s="6">
        <f t="shared" si="4"/>
        <v>59.564999999999991</v>
      </c>
      <c r="R33" s="6">
        <f t="shared" si="5"/>
        <v>14.415384615384616</v>
      </c>
      <c r="U33"/>
    </row>
    <row r="34" spans="1:21" x14ac:dyDescent="0.25">
      <c r="A34" s="8" t="s">
        <v>84</v>
      </c>
      <c r="B34" s="12" t="str">
        <f>VLOOKUP(A34,concorrenti!A:B,2,1)</f>
        <v>VALTELLINA</v>
      </c>
      <c r="C34" s="12">
        <f>VLOOKUP(A34,concorrenti!A:E,5,1)</f>
        <v>0</v>
      </c>
      <c r="D34" t="s">
        <v>240</v>
      </c>
      <c r="E34" t="s">
        <v>295</v>
      </c>
      <c r="F34" s="73">
        <v>1998</v>
      </c>
      <c r="H34">
        <f>1111-13-27-22</f>
        <v>1049</v>
      </c>
      <c r="I34" s="4">
        <f t="shared" si="0"/>
        <v>1.98</v>
      </c>
      <c r="J34" s="14">
        <f t="shared" si="1"/>
        <v>2077.02</v>
      </c>
      <c r="K34" s="5"/>
      <c r="L34">
        <v>23</v>
      </c>
      <c r="M34">
        <f>VLOOKUP(L34,Regolamento!A:B,2,0)</f>
        <v>18</v>
      </c>
      <c r="N34" s="4">
        <f t="shared" si="2"/>
        <v>1.65</v>
      </c>
      <c r="O34" s="4">
        <f t="shared" si="3"/>
        <v>1.9</v>
      </c>
      <c r="P34" s="6">
        <f t="shared" si="4"/>
        <v>56.429999999999993</v>
      </c>
      <c r="R34" s="6">
        <f t="shared" si="5"/>
        <v>16.138461538461538</v>
      </c>
      <c r="U34"/>
    </row>
    <row r="35" spans="1:21" x14ac:dyDescent="0.25">
      <c r="A35" t="s">
        <v>220</v>
      </c>
      <c r="B35" s="12" t="str">
        <f>VLOOKUP(A35,concorrenti!A:B,2,1)</f>
        <v>CMAE</v>
      </c>
      <c r="C35" s="12">
        <f>VLOOKUP(A35,concorrenti!A:E,5,1)</f>
        <v>0</v>
      </c>
      <c r="D35" t="s">
        <v>230</v>
      </c>
      <c r="E35" t="s">
        <v>285</v>
      </c>
      <c r="F35">
        <v>1974</v>
      </c>
      <c r="H35">
        <f>1234-20</f>
        <v>1214</v>
      </c>
      <c r="I35" s="4">
        <f t="shared" si="0"/>
        <v>1.74</v>
      </c>
      <c r="J35" s="14">
        <f t="shared" si="1"/>
        <v>2112.36</v>
      </c>
      <c r="K35" s="5"/>
      <c r="L35">
        <v>24</v>
      </c>
      <c r="M35">
        <f>VLOOKUP(L35,Regolamento!A:B,2,0)</f>
        <v>17</v>
      </c>
      <c r="N35" s="4">
        <f t="shared" si="2"/>
        <v>1.65</v>
      </c>
      <c r="O35" s="4">
        <f t="shared" si="3"/>
        <v>1.9</v>
      </c>
      <c r="P35" s="6">
        <f t="shared" si="4"/>
        <v>53.294999999999995</v>
      </c>
      <c r="R35" s="6">
        <f t="shared" si="5"/>
        <v>18.676923076923078</v>
      </c>
      <c r="U35"/>
    </row>
    <row r="36" spans="1:21" x14ac:dyDescent="0.25">
      <c r="A36" t="s">
        <v>87</v>
      </c>
      <c r="B36" s="12" t="str">
        <f>VLOOKUP(A36,concorrenti!A:B,2,1)</f>
        <v>CASTELLOTTI</v>
      </c>
      <c r="C36" s="12">
        <f>VLOOKUP(A36,concorrenti!A:E,5,1)</f>
        <v>0</v>
      </c>
      <c r="D36" t="s">
        <v>235</v>
      </c>
      <c r="E36" s="70" t="s">
        <v>257</v>
      </c>
      <c r="F36">
        <v>1958</v>
      </c>
      <c r="G36" s="5"/>
      <c r="H36">
        <f>1643-53</f>
        <v>1590</v>
      </c>
      <c r="I36" s="4">
        <f t="shared" si="0"/>
        <v>1.58</v>
      </c>
      <c r="J36" s="14">
        <f t="shared" si="1"/>
        <v>2512.2000000000003</v>
      </c>
      <c r="K36" s="5"/>
      <c r="L36">
        <v>25</v>
      </c>
      <c r="M36">
        <f>VLOOKUP(L36,Regolamento!A:B,2,0)</f>
        <v>16</v>
      </c>
      <c r="N36" s="4">
        <f t="shared" si="2"/>
        <v>1.65</v>
      </c>
      <c r="O36" s="4">
        <f t="shared" si="3"/>
        <v>1.9</v>
      </c>
      <c r="P36" s="6">
        <f t="shared" si="4"/>
        <v>50.16</v>
      </c>
      <c r="R36" s="6">
        <f t="shared" si="5"/>
        <v>24.46153846153846</v>
      </c>
      <c r="U36"/>
    </row>
    <row r="37" spans="1:21" x14ac:dyDescent="0.25">
      <c r="A37" t="s">
        <v>198</v>
      </c>
      <c r="B37" s="12" t="str">
        <f>VLOOKUP(A37,concorrenti!A:B,2,1)</f>
        <v>CASTELLOTTI</v>
      </c>
      <c r="C37" s="12">
        <f>VLOOKUP(A37,concorrenti!A:E,5,1)</f>
        <v>0</v>
      </c>
      <c r="D37" t="s">
        <v>238</v>
      </c>
      <c r="E37" t="s">
        <v>261</v>
      </c>
      <c r="F37">
        <v>1963</v>
      </c>
      <c r="G37" s="5"/>
      <c r="H37">
        <f>1737-53-42-57</f>
        <v>1585</v>
      </c>
      <c r="I37" s="4">
        <f t="shared" si="0"/>
        <v>1.63</v>
      </c>
      <c r="J37" s="14">
        <f t="shared" si="1"/>
        <v>2583.5499999999997</v>
      </c>
      <c r="K37" s="5"/>
      <c r="L37">
        <v>26</v>
      </c>
      <c r="M37">
        <f>VLOOKUP(L37,Regolamento!A:B,2,0)</f>
        <v>15</v>
      </c>
      <c r="N37" s="4">
        <f t="shared" si="2"/>
        <v>1.65</v>
      </c>
      <c r="O37" s="4">
        <f t="shared" si="3"/>
        <v>1.9</v>
      </c>
      <c r="P37" s="6">
        <f t="shared" si="4"/>
        <v>47.024999999999999</v>
      </c>
      <c r="R37" s="6">
        <f t="shared" si="5"/>
        <v>24.384615384615383</v>
      </c>
      <c r="U37"/>
    </row>
    <row r="38" spans="1:21" x14ac:dyDescent="0.25">
      <c r="A38" t="s">
        <v>81</v>
      </c>
      <c r="B38" s="12" t="str">
        <f>VLOOKUP(A38,concorrenti!A:B,2,1)</f>
        <v>CASTELLOTTI</v>
      </c>
      <c r="C38" s="12">
        <f>VLOOKUP(A38,concorrenti!A:E,5,1)</f>
        <v>0</v>
      </c>
      <c r="D38" t="s">
        <v>151</v>
      </c>
      <c r="E38" t="s">
        <v>152</v>
      </c>
      <c r="F38">
        <v>1981</v>
      </c>
      <c r="G38" s="5"/>
      <c r="H38">
        <f>1535-66</f>
        <v>1469</v>
      </c>
      <c r="I38" s="4">
        <f t="shared" si="0"/>
        <v>1.81</v>
      </c>
      <c r="J38" s="14">
        <f t="shared" si="1"/>
        <v>2658.89</v>
      </c>
      <c r="K38" s="5"/>
      <c r="L38">
        <v>27</v>
      </c>
      <c r="M38">
        <f>VLOOKUP(L38,Regolamento!A:B,2,0)</f>
        <v>14</v>
      </c>
      <c r="N38" s="4">
        <f t="shared" si="2"/>
        <v>1.65</v>
      </c>
      <c r="O38" s="4">
        <f t="shared" si="3"/>
        <v>1.9</v>
      </c>
      <c r="P38" s="6">
        <f t="shared" si="4"/>
        <v>43.889999999999993</v>
      </c>
      <c r="R38" s="6">
        <f t="shared" si="5"/>
        <v>22.6</v>
      </c>
      <c r="U38"/>
    </row>
    <row r="39" spans="1:21" x14ac:dyDescent="0.25">
      <c r="A39" t="s">
        <v>197</v>
      </c>
      <c r="B39" s="12" t="str">
        <f>VLOOKUP(A39,concorrenti!A:B,2,1)</f>
        <v>CASTELLOTTI</v>
      </c>
      <c r="C39" s="12">
        <f>VLOOKUP(A39,concorrenti!A:E,5,1)</f>
        <v>0</v>
      </c>
      <c r="D39" t="s">
        <v>235</v>
      </c>
      <c r="E39" s="70" t="s">
        <v>260</v>
      </c>
      <c r="F39">
        <v>1976</v>
      </c>
      <c r="G39" s="5"/>
      <c r="H39">
        <f>1743-43-60-34</f>
        <v>1606</v>
      </c>
      <c r="I39" s="4">
        <f t="shared" si="0"/>
        <v>1.76</v>
      </c>
      <c r="J39" s="14">
        <f t="shared" si="1"/>
        <v>2826.56</v>
      </c>
      <c r="K39" s="5"/>
      <c r="L39">
        <v>28</v>
      </c>
      <c r="M39">
        <f>VLOOKUP(L39,Regolamento!A:B,2,0)</f>
        <v>13</v>
      </c>
      <c r="N39" s="4">
        <f t="shared" si="2"/>
        <v>1.65</v>
      </c>
      <c r="O39" s="4">
        <f t="shared" si="3"/>
        <v>1.9</v>
      </c>
      <c r="P39" s="6">
        <f t="shared" si="4"/>
        <v>40.754999999999995</v>
      </c>
      <c r="R39" s="6">
        <f t="shared" si="5"/>
        <v>24.707692307692309</v>
      </c>
      <c r="U39"/>
    </row>
    <row r="40" spans="1:21" x14ac:dyDescent="0.25">
      <c r="A40" t="s">
        <v>195</v>
      </c>
      <c r="B40" s="12" t="str">
        <f>VLOOKUP(A40,concorrenti!A:B,2,1)</f>
        <v>CASTELLOTTI</v>
      </c>
      <c r="C40" s="12">
        <f>VLOOKUP(A40,concorrenti!A:E,5,1)</f>
        <v>0</v>
      </c>
      <c r="D40" t="s">
        <v>231</v>
      </c>
      <c r="E40" s="70" t="s">
        <v>258</v>
      </c>
      <c r="F40" s="73">
        <v>1954</v>
      </c>
      <c r="G40" s="5"/>
      <c r="H40">
        <f>2616-150-272-281</f>
        <v>1913</v>
      </c>
      <c r="I40" s="4">
        <f t="shared" si="0"/>
        <v>1.54</v>
      </c>
      <c r="J40" s="14">
        <f t="shared" si="1"/>
        <v>2946.02</v>
      </c>
      <c r="K40" s="5"/>
      <c r="L40">
        <v>29</v>
      </c>
      <c r="M40">
        <f>VLOOKUP(L40,Regolamento!A:B,2,0)</f>
        <v>12</v>
      </c>
      <c r="N40" s="4">
        <f t="shared" si="2"/>
        <v>1.65</v>
      </c>
      <c r="O40" s="4">
        <f t="shared" si="3"/>
        <v>1.9</v>
      </c>
      <c r="P40" s="6">
        <f t="shared" si="4"/>
        <v>37.61999999999999</v>
      </c>
      <c r="R40" s="6">
        <f t="shared" si="5"/>
        <v>29.430769230769229</v>
      </c>
      <c r="U40"/>
    </row>
    <row r="41" spans="1:21" x14ac:dyDescent="0.25">
      <c r="A41" t="s">
        <v>192</v>
      </c>
      <c r="B41" s="12" t="str">
        <f>VLOOKUP(A41,concorrenti!A:B,2,1)</f>
        <v>CASTELLOTTI</v>
      </c>
      <c r="C41" s="12">
        <f>VLOOKUP(A41,concorrenti!A:E,5,1)</f>
        <v>0</v>
      </c>
      <c r="D41" t="s">
        <v>240</v>
      </c>
      <c r="E41" t="s">
        <v>254</v>
      </c>
      <c r="F41">
        <v>1957</v>
      </c>
      <c r="G41" s="5"/>
      <c r="H41">
        <f>2171-21-21-50</f>
        <v>2079</v>
      </c>
      <c r="I41" s="4">
        <f t="shared" si="0"/>
        <v>1.5699999999999998</v>
      </c>
      <c r="J41" s="14">
        <f t="shared" si="1"/>
        <v>3264.0299999999997</v>
      </c>
      <c r="K41" s="5"/>
      <c r="L41">
        <v>30</v>
      </c>
      <c r="M41">
        <f>VLOOKUP(L41,Regolamento!A:B,2,0)</f>
        <v>11</v>
      </c>
      <c r="N41" s="4">
        <f t="shared" si="2"/>
        <v>1.65</v>
      </c>
      <c r="O41" s="4">
        <f t="shared" si="3"/>
        <v>1.9</v>
      </c>
      <c r="P41" s="6">
        <f t="shared" si="4"/>
        <v>34.484999999999992</v>
      </c>
      <c r="R41" s="6">
        <f t="shared" si="5"/>
        <v>31.984615384615385</v>
      </c>
      <c r="U41"/>
    </row>
    <row r="42" spans="1:21" x14ac:dyDescent="0.25">
      <c r="A42" t="s">
        <v>18</v>
      </c>
      <c r="B42" s="12" t="str">
        <f>VLOOKUP(A42,concorrenti!A:B,2,1)</f>
        <v>VAMS</v>
      </c>
      <c r="C42" s="12">
        <f>VLOOKUP(A42,concorrenti!A:E,5,1)</f>
        <v>0</v>
      </c>
      <c r="D42" t="s">
        <v>232</v>
      </c>
      <c r="E42" t="s">
        <v>288</v>
      </c>
      <c r="F42" s="73">
        <v>1993</v>
      </c>
      <c r="H42">
        <f>1798-13-46</f>
        <v>1739</v>
      </c>
      <c r="I42" s="4">
        <f t="shared" si="0"/>
        <v>1.9300000000000002</v>
      </c>
      <c r="J42" s="14">
        <f t="shared" si="1"/>
        <v>3356.2700000000004</v>
      </c>
      <c r="K42" s="5"/>
      <c r="L42">
        <v>31</v>
      </c>
      <c r="M42">
        <f>VLOOKUP(L42,Regolamento!A:B,2,0)</f>
        <v>10</v>
      </c>
      <c r="N42" s="4">
        <f t="shared" si="2"/>
        <v>1.65</v>
      </c>
      <c r="O42" s="4">
        <f t="shared" si="3"/>
        <v>1.9</v>
      </c>
      <c r="P42" s="6">
        <f t="shared" si="4"/>
        <v>31.349999999999998</v>
      </c>
      <c r="R42" s="6">
        <f t="shared" si="5"/>
        <v>26.753846153846155</v>
      </c>
      <c r="U42"/>
    </row>
    <row r="43" spans="1:21" x14ac:dyDescent="0.25">
      <c r="A43" t="s">
        <v>204</v>
      </c>
      <c r="B43" s="12" t="str">
        <f>VLOOKUP(A43,concorrenti!A:B,2,1)</f>
        <v>CASTELLOTTI</v>
      </c>
      <c r="C43" s="12">
        <f>VLOOKUP(A43,concorrenti!A:E,5,1)</f>
        <v>0</v>
      </c>
      <c r="D43" t="s">
        <v>235</v>
      </c>
      <c r="E43" t="s">
        <v>268</v>
      </c>
      <c r="F43">
        <f>1973-43-51-23</f>
        <v>1856</v>
      </c>
      <c r="G43" s="5"/>
      <c r="H43">
        <v>2288</v>
      </c>
      <c r="I43" s="4">
        <f t="shared" si="0"/>
        <v>1.56</v>
      </c>
      <c r="J43" s="14">
        <f t="shared" si="1"/>
        <v>3569.28</v>
      </c>
      <c r="K43" s="5"/>
      <c r="L43">
        <v>32</v>
      </c>
      <c r="M43">
        <f>VLOOKUP(L43,Regolamento!A:B,2,0)</f>
        <v>9</v>
      </c>
      <c r="N43" s="4">
        <f t="shared" si="2"/>
        <v>1.65</v>
      </c>
      <c r="O43" s="4">
        <f t="shared" si="3"/>
        <v>1.9</v>
      </c>
      <c r="P43" s="6">
        <f t="shared" si="4"/>
        <v>28.214999999999996</v>
      </c>
      <c r="R43" s="6">
        <f t="shared" si="5"/>
        <v>35.200000000000003</v>
      </c>
      <c r="U43"/>
    </row>
    <row r="44" spans="1:21" x14ac:dyDescent="0.25">
      <c r="A44" t="s">
        <v>207</v>
      </c>
      <c r="B44" s="12" t="str">
        <f>VLOOKUP(A44,concorrenti!A:B,2,1)</f>
        <v>CASTELLOTTI</v>
      </c>
      <c r="C44" s="12">
        <f>VLOOKUP(A44,concorrenti!A:E,5,1)</f>
        <v>0</v>
      </c>
      <c r="D44" t="s">
        <v>232</v>
      </c>
      <c r="E44" t="s">
        <v>271</v>
      </c>
      <c r="F44">
        <v>1991</v>
      </c>
      <c r="G44" s="5"/>
      <c r="H44">
        <f>1977-74</f>
        <v>1903</v>
      </c>
      <c r="I44" s="4">
        <f t="shared" ref="I44:I67" si="6">IF(C44&lt;&gt;0,((1+RIGHT(F44,2)/100)-0.1),(1+RIGHT(F44,2)/100))</f>
        <v>1.9100000000000001</v>
      </c>
      <c r="J44" s="14">
        <f t="shared" ref="J44:J67" si="7">+H44*I44</f>
        <v>3634.7300000000005</v>
      </c>
      <c r="K44" s="5"/>
      <c r="L44">
        <v>33</v>
      </c>
      <c r="M44">
        <f>VLOOKUP(L44,Regolamento!A:B,2,0)</f>
        <v>8</v>
      </c>
      <c r="N44" s="4">
        <f t="shared" ref="N44:N66" si="8">1+E$5/100</f>
        <v>1.65</v>
      </c>
      <c r="O44" s="4">
        <f t="shared" ref="O44:O66" si="9">1+E$6/100</f>
        <v>1.9</v>
      </c>
      <c r="P44" s="6">
        <f t="shared" si="4"/>
        <v>25.08</v>
      </c>
      <c r="R44" s="6">
        <f t="shared" si="5"/>
        <v>29.276923076923076</v>
      </c>
      <c r="U44"/>
    </row>
    <row r="45" spans="1:21" x14ac:dyDescent="0.25">
      <c r="A45" t="s">
        <v>219</v>
      </c>
      <c r="B45" s="12" t="str">
        <f>VLOOKUP(A45,concorrenti!A:B,2,1)</f>
        <v>OROBICO</v>
      </c>
      <c r="C45" s="12">
        <f>VLOOKUP(A45,concorrenti!A:E,5,1)</f>
        <v>0</v>
      </c>
      <c r="D45" t="s">
        <v>230</v>
      </c>
      <c r="E45" t="s">
        <v>284</v>
      </c>
      <c r="F45">
        <v>1980</v>
      </c>
      <c r="H45">
        <f>2478-300-61-24</f>
        <v>2093</v>
      </c>
      <c r="I45" s="4">
        <f t="shared" si="6"/>
        <v>1.8</v>
      </c>
      <c r="J45" s="14">
        <f t="shared" si="7"/>
        <v>3767.4</v>
      </c>
      <c r="K45" s="5"/>
      <c r="L45">
        <v>34</v>
      </c>
      <c r="M45">
        <f>VLOOKUP(L45,Regolamento!A:B,2,0)</f>
        <v>7</v>
      </c>
      <c r="N45" s="4">
        <f t="shared" si="8"/>
        <v>1.65</v>
      </c>
      <c r="O45" s="4">
        <f t="shared" si="9"/>
        <v>1.9</v>
      </c>
      <c r="P45" s="6">
        <f t="shared" ref="P45:P66" si="10">IF(H45&lt;&gt;0,+M45*N45*O45,0)</f>
        <v>21.944999999999997</v>
      </c>
      <c r="R45" s="6">
        <f t="shared" si="5"/>
        <v>32.200000000000003</v>
      </c>
      <c r="U45"/>
    </row>
    <row r="46" spans="1:21" x14ac:dyDescent="0.25">
      <c r="A46" t="s">
        <v>191</v>
      </c>
      <c r="B46" s="12" t="str">
        <f>VLOOKUP(A46,concorrenti!A:B,2,1)</f>
        <v>CASTELLOTTI</v>
      </c>
      <c r="C46" s="12">
        <f>VLOOKUP(A46,concorrenti!A:E,5,1)</f>
        <v>0</v>
      </c>
      <c r="D46" t="s">
        <v>232</v>
      </c>
      <c r="E46" t="s">
        <v>252</v>
      </c>
      <c r="F46">
        <v>1969</v>
      </c>
      <c r="G46" s="5"/>
      <c r="H46">
        <f>2659-21-202-70</f>
        <v>2366</v>
      </c>
      <c r="I46" s="4">
        <f t="shared" si="6"/>
        <v>1.69</v>
      </c>
      <c r="J46" s="14">
        <f t="shared" si="7"/>
        <v>3998.54</v>
      </c>
      <c r="K46" s="5"/>
      <c r="L46">
        <v>35</v>
      </c>
      <c r="M46">
        <f>VLOOKUP(L46,Regolamento!A:B,2,0)</f>
        <v>6</v>
      </c>
      <c r="N46" s="4">
        <f t="shared" si="8"/>
        <v>1.65</v>
      </c>
      <c r="O46" s="4">
        <f t="shared" si="9"/>
        <v>1.9</v>
      </c>
      <c r="P46" s="6">
        <f t="shared" si="10"/>
        <v>18.809999999999995</v>
      </c>
      <c r="R46" s="6">
        <f t="shared" si="5"/>
        <v>36.4</v>
      </c>
      <c r="U46"/>
    </row>
    <row r="47" spans="1:21" x14ac:dyDescent="0.25">
      <c r="A47" t="s">
        <v>202</v>
      </c>
      <c r="B47" s="12" t="str">
        <f>VLOOKUP(A47,concorrenti!A:B,2,1)</f>
        <v>CASTELLOTTI</v>
      </c>
      <c r="C47" s="12">
        <f>VLOOKUP(A47,concorrenti!A:E,5,1)</f>
        <v>0</v>
      </c>
      <c r="D47" t="s">
        <v>230</v>
      </c>
      <c r="E47" t="s">
        <v>229</v>
      </c>
      <c r="F47">
        <v>1960</v>
      </c>
      <c r="G47" s="5"/>
      <c r="H47">
        <f>2835-56-32-30</f>
        <v>2717</v>
      </c>
      <c r="I47" s="4">
        <f t="shared" si="6"/>
        <v>1.6</v>
      </c>
      <c r="J47" s="14">
        <f t="shared" si="7"/>
        <v>4347.2</v>
      </c>
      <c r="K47" s="5"/>
      <c r="L47">
        <v>36</v>
      </c>
      <c r="M47">
        <f>VLOOKUP(L47,Regolamento!A:B,2,0)</f>
        <v>5</v>
      </c>
      <c r="N47" s="4">
        <f t="shared" si="8"/>
        <v>1.65</v>
      </c>
      <c r="O47" s="4">
        <f t="shared" si="9"/>
        <v>1.9</v>
      </c>
      <c r="P47" s="6">
        <f t="shared" si="10"/>
        <v>15.674999999999999</v>
      </c>
      <c r="R47" s="6">
        <f t="shared" si="5"/>
        <v>41.8</v>
      </c>
    </row>
    <row r="48" spans="1:21" x14ac:dyDescent="0.25">
      <c r="A48" t="s">
        <v>227</v>
      </c>
      <c r="B48" s="12" t="str">
        <f>VLOOKUP(A48,concorrenti!A:B,2,1)</f>
        <v>VCC COMO</v>
      </c>
      <c r="C48" s="12">
        <f>VLOOKUP(A48,concorrenti!A:E,5,1)</f>
        <v>0</v>
      </c>
      <c r="D48" t="s">
        <v>151</v>
      </c>
      <c r="E48" t="s">
        <v>293</v>
      </c>
      <c r="F48" s="73">
        <v>1997</v>
      </c>
      <c r="H48">
        <f>2423-19-47-37</f>
        <v>2320</v>
      </c>
      <c r="I48" s="4">
        <f t="shared" si="6"/>
        <v>1.97</v>
      </c>
      <c r="J48" s="14">
        <f t="shared" si="7"/>
        <v>4570.3999999999996</v>
      </c>
      <c r="K48" s="5"/>
      <c r="L48">
        <v>37</v>
      </c>
      <c r="M48">
        <f>VLOOKUP(L48,Regolamento!A:B,2,0)</f>
        <v>4</v>
      </c>
      <c r="N48" s="4">
        <f t="shared" si="8"/>
        <v>1.65</v>
      </c>
      <c r="O48" s="4">
        <f t="shared" si="9"/>
        <v>1.9</v>
      </c>
      <c r="P48" s="6">
        <f t="shared" si="10"/>
        <v>12.54</v>
      </c>
      <c r="R48" s="6">
        <f t="shared" si="5"/>
        <v>35.692307692307693</v>
      </c>
      <c r="U48"/>
    </row>
    <row r="49" spans="1:21" x14ac:dyDescent="0.25">
      <c r="A49" t="s">
        <v>228</v>
      </c>
      <c r="B49" s="12" t="str">
        <f>VLOOKUP(A49,concorrenti!A:B,2,1)</f>
        <v>VALTELLINA</v>
      </c>
      <c r="C49" s="12">
        <f>VLOOKUP(A49,concorrenti!A:E,5,1)</f>
        <v>0</v>
      </c>
      <c r="D49" t="s">
        <v>245</v>
      </c>
      <c r="E49" t="s">
        <v>294</v>
      </c>
      <c r="F49">
        <v>1991</v>
      </c>
      <c r="H49">
        <f>2836-50-19-59</f>
        <v>2708</v>
      </c>
      <c r="I49" s="4">
        <f t="shared" si="6"/>
        <v>1.9100000000000001</v>
      </c>
      <c r="J49" s="14">
        <f t="shared" si="7"/>
        <v>5172.2800000000007</v>
      </c>
      <c r="K49" s="5"/>
      <c r="L49">
        <v>38</v>
      </c>
      <c r="M49">
        <f>VLOOKUP(L49,Regolamento!A:B,2,0)</f>
        <v>3</v>
      </c>
      <c r="N49" s="4">
        <f t="shared" si="8"/>
        <v>1.65</v>
      </c>
      <c r="O49" s="4">
        <f t="shared" si="9"/>
        <v>1.9</v>
      </c>
      <c r="P49" s="6">
        <f t="shared" si="10"/>
        <v>9.4049999999999976</v>
      </c>
      <c r="R49" s="6">
        <f t="shared" si="5"/>
        <v>41.661538461538463</v>
      </c>
      <c r="U49"/>
    </row>
    <row r="50" spans="1:21" x14ac:dyDescent="0.25">
      <c r="A50" t="s">
        <v>188</v>
      </c>
      <c r="B50" s="12" t="str">
        <f>VLOOKUP(A50,concorrenti!A:B,2,1)</f>
        <v>CASTELLOTTI</v>
      </c>
      <c r="C50" s="12">
        <f>VLOOKUP(A50,concorrenti!A:E,5,1)</f>
        <v>0</v>
      </c>
      <c r="D50" t="s">
        <v>232</v>
      </c>
      <c r="E50" t="s">
        <v>247</v>
      </c>
      <c r="F50">
        <v>1927</v>
      </c>
      <c r="H50">
        <f>4268-169</f>
        <v>4099</v>
      </c>
      <c r="I50" s="4">
        <f t="shared" si="6"/>
        <v>1.27</v>
      </c>
      <c r="J50" s="14">
        <f t="shared" si="7"/>
        <v>5205.7300000000005</v>
      </c>
      <c r="K50" s="5"/>
      <c r="L50">
        <v>39</v>
      </c>
      <c r="M50">
        <f>VLOOKUP(L50,Regolamento!A:B,2,0)</f>
        <v>2</v>
      </c>
      <c r="N50" s="4">
        <f t="shared" si="8"/>
        <v>1.65</v>
      </c>
      <c r="O50" s="4">
        <f t="shared" si="9"/>
        <v>1.9</v>
      </c>
      <c r="P50" s="6">
        <f t="shared" si="10"/>
        <v>6.27</v>
      </c>
      <c r="R50" s="6">
        <f t="shared" si="5"/>
        <v>63.061538461538461</v>
      </c>
      <c r="U50"/>
    </row>
    <row r="51" spans="1:21" x14ac:dyDescent="0.25">
      <c r="A51" t="s">
        <v>194</v>
      </c>
      <c r="B51" s="12" t="str">
        <f>VLOOKUP(A51,concorrenti!A:B,2,1)</f>
        <v>CASTELLOTTI</v>
      </c>
      <c r="C51" s="12">
        <f>VLOOKUP(A51,concorrenti!A:E,5,1)</f>
        <v>0</v>
      </c>
      <c r="D51" t="s">
        <v>236</v>
      </c>
      <c r="E51" t="s">
        <v>256</v>
      </c>
      <c r="F51">
        <v>1970</v>
      </c>
      <c r="G51" s="5"/>
      <c r="H51">
        <f>3323-65-26-6</f>
        <v>3226</v>
      </c>
      <c r="I51" s="4">
        <f t="shared" si="6"/>
        <v>1.7</v>
      </c>
      <c r="J51" s="14">
        <f t="shared" si="7"/>
        <v>5484.2</v>
      </c>
      <c r="K51" s="5"/>
      <c r="L51">
        <v>40</v>
      </c>
      <c r="M51">
        <f>VLOOKUP(L51,Regolamento!A:B,2,0)</f>
        <v>1</v>
      </c>
      <c r="N51" s="4">
        <f t="shared" si="8"/>
        <v>1.65</v>
      </c>
      <c r="O51" s="4">
        <f t="shared" si="9"/>
        <v>1.9</v>
      </c>
      <c r="P51" s="6">
        <f t="shared" si="10"/>
        <v>3.1349999999999998</v>
      </c>
      <c r="R51" s="6">
        <f t="shared" si="5"/>
        <v>49.630769230769232</v>
      </c>
    </row>
    <row r="52" spans="1:21" x14ac:dyDescent="0.25">
      <c r="A52" t="s">
        <v>226</v>
      </c>
      <c r="B52" s="12" t="str">
        <f>VLOOKUP(A52,concorrenti!A:B,2,1)</f>
        <v>VCC COMO</v>
      </c>
      <c r="C52" s="12" t="str">
        <f>VLOOKUP(A52,concorrenti!A:E,5,1)</f>
        <v>X</v>
      </c>
      <c r="D52" t="s">
        <v>234</v>
      </c>
      <c r="E52" t="s">
        <v>292</v>
      </c>
      <c r="F52">
        <v>1972</v>
      </c>
      <c r="H52">
        <f>3476-8</f>
        <v>3468</v>
      </c>
      <c r="I52" s="4">
        <f t="shared" si="6"/>
        <v>1.6199999999999999</v>
      </c>
      <c r="J52" s="14">
        <f t="shared" si="7"/>
        <v>5618.16</v>
      </c>
      <c r="K52" s="5"/>
      <c r="L52">
        <v>41</v>
      </c>
      <c r="M52">
        <f>VLOOKUP(L52,Regolamento!A:B,2,0)</f>
        <v>0.5</v>
      </c>
      <c r="N52" s="4">
        <f t="shared" si="8"/>
        <v>1.65</v>
      </c>
      <c r="O52" s="4">
        <f t="shared" si="9"/>
        <v>1.9</v>
      </c>
      <c r="P52" s="6">
        <f t="shared" si="10"/>
        <v>1.5674999999999999</v>
      </c>
      <c r="R52" s="6">
        <f t="shared" si="5"/>
        <v>53.353846153846156</v>
      </c>
      <c r="U52"/>
    </row>
    <row r="53" spans="1:21" x14ac:dyDescent="0.25">
      <c r="A53" t="s">
        <v>83</v>
      </c>
      <c r="B53" s="12" t="str">
        <f>VLOOKUP(A53,concorrenti!A:B,2,1)</f>
        <v>CASTELLOTTI</v>
      </c>
      <c r="C53" s="12">
        <f>VLOOKUP(A53,concorrenti!A:E,5,1)</f>
        <v>0</v>
      </c>
      <c r="D53" t="s">
        <v>239</v>
      </c>
      <c r="E53" t="s">
        <v>264</v>
      </c>
      <c r="F53" s="73">
        <v>1994</v>
      </c>
      <c r="G53" s="5"/>
      <c r="H53">
        <f>3530-115-192-237</f>
        <v>2986</v>
      </c>
      <c r="I53" s="4">
        <f t="shared" si="6"/>
        <v>1.94</v>
      </c>
      <c r="J53" s="14">
        <f t="shared" si="7"/>
        <v>5792.84</v>
      </c>
      <c r="K53" s="5"/>
      <c r="L53">
        <v>42</v>
      </c>
      <c r="M53">
        <f>VLOOKUP(L53,Regolamento!A:B,2,0)</f>
        <v>0.5</v>
      </c>
      <c r="N53" s="4">
        <f t="shared" si="8"/>
        <v>1.65</v>
      </c>
      <c r="O53" s="4">
        <f t="shared" si="9"/>
        <v>1.9</v>
      </c>
      <c r="P53" s="6">
        <f t="shared" si="10"/>
        <v>1.5674999999999999</v>
      </c>
      <c r="R53" s="6">
        <f t="shared" si="5"/>
        <v>45.938461538461539</v>
      </c>
      <c r="U53"/>
    </row>
    <row r="54" spans="1:21" x14ac:dyDescent="0.25">
      <c r="A54" t="s">
        <v>201</v>
      </c>
      <c r="B54" s="12" t="str">
        <f>VLOOKUP(A54,concorrenti!A:B,2,1)</f>
        <v>CASTELLOTTI</v>
      </c>
      <c r="C54" s="12">
        <f>VLOOKUP(A54,concorrenti!A:E,5,1)</f>
        <v>0</v>
      </c>
      <c r="D54" t="s">
        <v>239</v>
      </c>
      <c r="E54" t="s">
        <v>265</v>
      </c>
      <c r="F54" s="73">
        <v>1992</v>
      </c>
      <c r="G54" s="5"/>
      <c r="H54">
        <f>3408-194-80-41</f>
        <v>3093</v>
      </c>
      <c r="I54" s="4">
        <f t="shared" si="6"/>
        <v>1.92</v>
      </c>
      <c r="J54" s="14">
        <f t="shared" si="7"/>
        <v>5938.5599999999995</v>
      </c>
      <c r="K54" s="5"/>
      <c r="L54">
        <v>43</v>
      </c>
      <c r="M54">
        <f>VLOOKUP(L54,Regolamento!A:B,2,0)</f>
        <v>0.5</v>
      </c>
      <c r="N54" s="4">
        <f t="shared" si="8"/>
        <v>1.65</v>
      </c>
      <c r="O54" s="4">
        <f t="shared" si="9"/>
        <v>1.9</v>
      </c>
      <c r="P54" s="6">
        <f t="shared" si="10"/>
        <v>1.5674999999999999</v>
      </c>
      <c r="R54" s="6">
        <f t="shared" si="5"/>
        <v>47.584615384615383</v>
      </c>
      <c r="U54"/>
    </row>
    <row r="55" spans="1:21" x14ac:dyDescent="0.25">
      <c r="A55" t="s">
        <v>221</v>
      </c>
      <c r="B55" s="12" t="str">
        <f>VLOOKUP(A55,concorrenti!A:B,2,1)</f>
        <v>VAMS</v>
      </c>
      <c r="C55" s="12">
        <f>VLOOKUP(A55,concorrenti!A:E,5,1)</f>
        <v>0</v>
      </c>
      <c r="D55" t="s">
        <v>232</v>
      </c>
      <c r="E55" t="s">
        <v>286</v>
      </c>
      <c r="F55" s="73">
        <v>1981</v>
      </c>
      <c r="H55">
        <f>3703-27-25-3</f>
        <v>3648</v>
      </c>
      <c r="I55" s="4">
        <f t="shared" si="6"/>
        <v>1.81</v>
      </c>
      <c r="J55" s="14">
        <f t="shared" si="7"/>
        <v>6602.88</v>
      </c>
      <c r="K55" s="5"/>
      <c r="L55">
        <v>44</v>
      </c>
      <c r="M55">
        <f>VLOOKUP(L55,Regolamento!A:B,2,0)</f>
        <v>0.5</v>
      </c>
      <c r="N55" s="4">
        <f t="shared" si="8"/>
        <v>1.65</v>
      </c>
      <c r="O55" s="4">
        <f t="shared" si="9"/>
        <v>1.9</v>
      </c>
      <c r="P55" s="6">
        <f t="shared" si="10"/>
        <v>1.5674999999999999</v>
      </c>
      <c r="R55" s="6">
        <f t="shared" si="5"/>
        <v>56.123076923076923</v>
      </c>
      <c r="U55"/>
    </row>
    <row r="56" spans="1:21" x14ac:dyDescent="0.25">
      <c r="A56" t="s">
        <v>215</v>
      </c>
      <c r="B56" s="12" t="str">
        <f>VLOOKUP(A56,concorrenti!A:B,2,1)</f>
        <v>CLASSIC CLUB ITALIA</v>
      </c>
      <c r="C56" s="12">
        <f>VLOOKUP(A56,concorrenti!A:E,5,1)</f>
        <v>0</v>
      </c>
      <c r="D56" t="s">
        <v>243</v>
      </c>
      <c r="E56" t="s">
        <v>280</v>
      </c>
      <c r="F56" s="73">
        <v>1988</v>
      </c>
      <c r="H56">
        <f>3780-66-105-50</f>
        <v>3559</v>
      </c>
      <c r="I56" s="4">
        <f t="shared" si="6"/>
        <v>1.88</v>
      </c>
      <c r="J56" s="14">
        <f t="shared" si="7"/>
        <v>6690.92</v>
      </c>
      <c r="K56" s="5"/>
      <c r="L56">
        <v>45</v>
      </c>
      <c r="M56">
        <f>VLOOKUP(L56,Regolamento!A:B,2,0)</f>
        <v>0.5</v>
      </c>
      <c r="N56" s="4">
        <f t="shared" si="8"/>
        <v>1.65</v>
      </c>
      <c r="O56" s="4">
        <f t="shared" si="9"/>
        <v>1.9</v>
      </c>
      <c r="P56" s="6">
        <f t="shared" si="10"/>
        <v>1.5674999999999999</v>
      </c>
      <c r="R56" s="6">
        <f t="shared" si="5"/>
        <v>54.753846153846155</v>
      </c>
      <c r="U56"/>
    </row>
    <row r="57" spans="1:21" x14ac:dyDescent="0.25">
      <c r="A57" t="s">
        <v>193</v>
      </c>
      <c r="B57" s="12" t="str">
        <f>VLOOKUP(A57,concorrenti!A:B,2,1)</f>
        <v>CASTELLOTTI</v>
      </c>
      <c r="C57" s="12" t="str">
        <f>VLOOKUP(A57,concorrenti!A:E,5,1)</f>
        <v>X</v>
      </c>
      <c r="D57" t="s">
        <v>240</v>
      </c>
      <c r="E57" t="s">
        <v>255</v>
      </c>
      <c r="F57">
        <v>1971</v>
      </c>
      <c r="G57" s="5"/>
      <c r="H57">
        <f>4807-41-18</f>
        <v>4748</v>
      </c>
      <c r="I57" s="4">
        <f t="shared" si="6"/>
        <v>1.6099999999999999</v>
      </c>
      <c r="J57" s="14">
        <f t="shared" si="7"/>
        <v>7644.28</v>
      </c>
      <c r="K57" s="5"/>
      <c r="L57">
        <v>46</v>
      </c>
      <c r="M57">
        <f>VLOOKUP(L57,Regolamento!A:B,2,0)</f>
        <v>0.5</v>
      </c>
      <c r="N57" s="4">
        <f t="shared" si="8"/>
        <v>1.65</v>
      </c>
      <c r="O57" s="4">
        <f t="shared" si="9"/>
        <v>1.9</v>
      </c>
      <c r="P57" s="6">
        <f t="shared" si="10"/>
        <v>1.5674999999999999</v>
      </c>
      <c r="R57" s="6">
        <f t="shared" si="5"/>
        <v>73.046153846153842</v>
      </c>
      <c r="U57"/>
    </row>
    <row r="58" spans="1:21" x14ac:dyDescent="0.25">
      <c r="A58" t="s">
        <v>196</v>
      </c>
      <c r="B58" s="12" t="str">
        <f>VLOOKUP(A58,concorrenti!A:B,2,1)</f>
        <v>CASTELLOTTI</v>
      </c>
      <c r="C58" s="12">
        <f>VLOOKUP(A58,concorrenti!A:E,5,1)</f>
        <v>0</v>
      </c>
      <c r="D58" t="s">
        <v>237</v>
      </c>
      <c r="E58" t="s">
        <v>259</v>
      </c>
      <c r="F58">
        <v>1997</v>
      </c>
      <c r="G58" s="5"/>
      <c r="H58">
        <v>5332</v>
      </c>
      <c r="I58" s="4">
        <f t="shared" si="6"/>
        <v>1.97</v>
      </c>
      <c r="J58" s="14">
        <f t="shared" si="7"/>
        <v>10504.039999999999</v>
      </c>
      <c r="K58" s="5"/>
      <c r="L58">
        <v>47</v>
      </c>
      <c r="M58">
        <f>VLOOKUP(L58,Regolamento!A:B,2,0)</f>
        <v>0.5</v>
      </c>
      <c r="N58" s="4">
        <f t="shared" si="8"/>
        <v>1.65</v>
      </c>
      <c r="O58" s="4">
        <f t="shared" si="9"/>
        <v>1.9</v>
      </c>
      <c r="P58" s="6">
        <f t="shared" si="10"/>
        <v>1.5674999999999999</v>
      </c>
      <c r="R58" s="6">
        <f t="shared" si="5"/>
        <v>82.030769230769238</v>
      </c>
      <c r="U58"/>
    </row>
    <row r="59" spans="1:21" x14ac:dyDescent="0.25">
      <c r="A59" t="s">
        <v>200</v>
      </c>
      <c r="B59" s="12" t="str">
        <f>VLOOKUP(A59,concorrenti!A:B,2,1)</f>
        <v>CASTELLOTTI</v>
      </c>
      <c r="C59" s="12" t="str">
        <f>VLOOKUP(A59,concorrenti!A:E,5,1)</f>
        <v>X</v>
      </c>
      <c r="D59" t="s">
        <v>235</v>
      </c>
      <c r="E59" t="s">
        <v>263</v>
      </c>
      <c r="F59">
        <v>1996</v>
      </c>
      <c r="G59" s="5"/>
      <c r="H59">
        <v>5964</v>
      </c>
      <c r="I59" s="4">
        <f t="shared" si="6"/>
        <v>1.8599999999999999</v>
      </c>
      <c r="J59" s="14">
        <f t="shared" si="7"/>
        <v>11093.039999999999</v>
      </c>
      <c r="K59" s="5"/>
      <c r="L59">
        <v>48</v>
      </c>
      <c r="M59">
        <f>VLOOKUP(L59,Regolamento!A:B,2,0)</f>
        <v>0.5</v>
      </c>
      <c r="N59" s="4">
        <f t="shared" si="8"/>
        <v>1.65</v>
      </c>
      <c r="O59" s="4">
        <f t="shared" si="9"/>
        <v>1.9</v>
      </c>
      <c r="P59" s="6">
        <f t="shared" si="10"/>
        <v>1.5674999999999999</v>
      </c>
      <c r="R59" s="6">
        <f t="shared" si="5"/>
        <v>91.753846153846155</v>
      </c>
      <c r="U59"/>
    </row>
    <row r="60" spans="1:21" x14ac:dyDescent="0.25">
      <c r="A60" t="s">
        <v>90</v>
      </c>
      <c r="B60" s="12" t="str">
        <f>VLOOKUP(A60,concorrenti!A:B,2,1)</f>
        <v>CASTELLOTTI</v>
      </c>
      <c r="C60" s="12">
        <f>VLOOKUP(A60,concorrenti!A:E,5,1)</f>
        <v>0</v>
      </c>
      <c r="D60" t="s">
        <v>121</v>
      </c>
      <c r="E60" t="s">
        <v>267</v>
      </c>
      <c r="F60">
        <v>1995</v>
      </c>
      <c r="G60" s="5"/>
      <c r="H60">
        <v>5883</v>
      </c>
      <c r="I60" s="4">
        <f t="shared" si="6"/>
        <v>1.95</v>
      </c>
      <c r="J60" s="14">
        <f t="shared" si="7"/>
        <v>11471.85</v>
      </c>
      <c r="K60" s="5"/>
      <c r="L60">
        <v>49</v>
      </c>
      <c r="M60">
        <f>VLOOKUP(L60,Regolamento!A:B,2,0)</f>
        <v>0.5</v>
      </c>
      <c r="N60" s="4">
        <f t="shared" si="8"/>
        <v>1.65</v>
      </c>
      <c r="O60" s="4">
        <f t="shared" si="9"/>
        <v>1.9</v>
      </c>
      <c r="P60" s="6">
        <f t="shared" si="10"/>
        <v>1.5674999999999999</v>
      </c>
      <c r="R60" s="6">
        <f t="shared" si="5"/>
        <v>90.507692307692309</v>
      </c>
      <c r="U60"/>
    </row>
    <row r="61" spans="1:21" x14ac:dyDescent="0.25">
      <c r="A61" t="s">
        <v>199</v>
      </c>
      <c r="B61" s="12" t="str">
        <f>VLOOKUP(A61,concorrenti!A:B,2,1)</f>
        <v>CASTELLOTTI</v>
      </c>
      <c r="C61" s="12">
        <f>VLOOKUP(A61,concorrenti!A:E,5,1)</f>
        <v>0</v>
      </c>
      <c r="D61" t="s">
        <v>121</v>
      </c>
      <c r="E61" t="s">
        <v>262</v>
      </c>
      <c r="F61">
        <v>1967</v>
      </c>
      <c r="G61" s="5"/>
      <c r="H61">
        <v>6908</v>
      </c>
      <c r="I61" s="4">
        <f t="shared" si="6"/>
        <v>1.67</v>
      </c>
      <c r="J61" s="14">
        <f t="shared" si="7"/>
        <v>11536.359999999999</v>
      </c>
      <c r="K61" s="5"/>
      <c r="L61">
        <v>50</v>
      </c>
      <c r="M61">
        <f>VLOOKUP(L61,Regolamento!A:B,2,0)</f>
        <v>0.5</v>
      </c>
      <c r="N61" s="4">
        <f t="shared" si="8"/>
        <v>1.65</v>
      </c>
      <c r="O61" s="4">
        <f t="shared" si="9"/>
        <v>1.9</v>
      </c>
      <c r="P61" s="6">
        <f t="shared" si="10"/>
        <v>1.5674999999999999</v>
      </c>
      <c r="R61" s="6">
        <f t="shared" si="5"/>
        <v>106.27692307692308</v>
      </c>
      <c r="U61"/>
    </row>
    <row r="62" spans="1:21" x14ac:dyDescent="0.25">
      <c r="A62" t="s">
        <v>212</v>
      </c>
      <c r="B62" s="12" t="str">
        <f>VLOOKUP(A62,concorrenti!A:B,2,1)</f>
        <v>CAVEM</v>
      </c>
      <c r="C62" s="12">
        <f>VLOOKUP(A62,concorrenti!A:E,5,1)</f>
        <v>0</v>
      </c>
      <c r="D62" t="s">
        <v>235</v>
      </c>
      <c r="E62" t="s">
        <v>277</v>
      </c>
      <c r="F62">
        <v>2001</v>
      </c>
      <c r="G62" s="5"/>
      <c r="H62" s="5">
        <v>11928</v>
      </c>
      <c r="I62" s="4">
        <f t="shared" si="6"/>
        <v>1.01</v>
      </c>
      <c r="J62" s="14">
        <f t="shared" si="7"/>
        <v>12047.28</v>
      </c>
      <c r="K62" s="5"/>
      <c r="L62">
        <v>51</v>
      </c>
      <c r="M62">
        <f>VLOOKUP(L62,Regolamento!A:B,2,0)</f>
        <v>0.5</v>
      </c>
      <c r="N62" s="4">
        <f t="shared" si="8"/>
        <v>1.65</v>
      </c>
      <c r="O62" s="4">
        <f t="shared" si="9"/>
        <v>1.9</v>
      </c>
      <c r="P62" s="6">
        <f t="shared" si="10"/>
        <v>1.5674999999999999</v>
      </c>
      <c r="R62" s="6">
        <f t="shared" si="5"/>
        <v>183.50769230769231</v>
      </c>
      <c r="U62"/>
    </row>
    <row r="63" spans="1:21" x14ac:dyDescent="0.25">
      <c r="A63" t="s">
        <v>206</v>
      </c>
      <c r="B63" s="12" t="str">
        <f>VLOOKUP(A63,concorrenti!A:B,2,1)</f>
        <v>CASTELLOTTI</v>
      </c>
      <c r="C63" s="12">
        <f>VLOOKUP(A63,concorrenti!A:E,5,1)</f>
        <v>0</v>
      </c>
      <c r="D63" t="s">
        <v>232</v>
      </c>
      <c r="E63" t="s">
        <v>270</v>
      </c>
      <c r="F63">
        <v>1992</v>
      </c>
      <c r="G63" s="5"/>
      <c r="H63">
        <f>9181-106-14-18</f>
        <v>9043</v>
      </c>
      <c r="I63" s="4">
        <f t="shared" si="6"/>
        <v>1.92</v>
      </c>
      <c r="J63" s="14">
        <f t="shared" si="7"/>
        <v>17362.559999999998</v>
      </c>
      <c r="K63" s="5"/>
      <c r="L63">
        <v>52</v>
      </c>
      <c r="M63">
        <f>VLOOKUP(L63,Regolamento!A:B,2,0)</f>
        <v>0.5</v>
      </c>
      <c r="N63" s="4">
        <f t="shared" si="8"/>
        <v>1.65</v>
      </c>
      <c r="O63" s="4">
        <f t="shared" si="9"/>
        <v>1.9</v>
      </c>
      <c r="P63" s="6">
        <f t="shared" si="10"/>
        <v>1.5674999999999999</v>
      </c>
      <c r="R63" s="6">
        <f t="shared" si="5"/>
        <v>139.12307692307692</v>
      </c>
      <c r="U63"/>
    </row>
    <row r="64" spans="1:21" x14ac:dyDescent="0.25">
      <c r="A64" t="s">
        <v>213</v>
      </c>
      <c r="B64" s="12" t="str">
        <f>VLOOKUP(A64,concorrenti!A:B,2,1)</f>
        <v>CAVEM</v>
      </c>
      <c r="C64" s="12">
        <f>VLOOKUP(A64,concorrenti!A:E,5,1)</f>
        <v>0</v>
      </c>
      <c r="D64" t="s">
        <v>243</v>
      </c>
      <c r="E64" t="s">
        <v>278</v>
      </c>
      <c r="F64">
        <v>1991</v>
      </c>
      <c r="H64">
        <f>10632-51</f>
        <v>10581</v>
      </c>
      <c r="I64" s="4">
        <f t="shared" si="6"/>
        <v>1.9100000000000001</v>
      </c>
      <c r="J64" s="14">
        <f t="shared" si="7"/>
        <v>20209.710000000003</v>
      </c>
      <c r="K64" s="5"/>
      <c r="L64">
        <v>53</v>
      </c>
      <c r="M64">
        <f>VLOOKUP(L64,Regolamento!A:B,2,0)</f>
        <v>0.5</v>
      </c>
      <c r="N64" s="4">
        <f t="shared" si="8"/>
        <v>1.65</v>
      </c>
      <c r="O64" s="4">
        <f t="shared" si="9"/>
        <v>1.9</v>
      </c>
      <c r="P64" s="6">
        <f t="shared" si="10"/>
        <v>1.5674999999999999</v>
      </c>
      <c r="R64" s="6">
        <f t="shared" si="5"/>
        <v>162.78461538461539</v>
      </c>
      <c r="U64"/>
    </row>
    <row r="65" spans="1:21" x14ac:dyDescent="0.25">
      <c r="A65" t="s">
        <v>203</v>
      </c>
      <c r="B65" s="12" t="str">
        <f>VLOOKUP(A65,concorrenti!A:B,2,1)</f>
        <v>CASTELLOTTI</v>
      </c>
      <c r="C65" s="12">
        <f>VLOOKUP(A65,concorrenti!A:E,5,1)</f>
        <v>0</v>
      </c>
      <c r="D65" t="s">
        <v>121</v>
      </c>
      <c r="E65" t="s">
        <v>266</v>
      </c>
      <c r="F65">
        <v>1932</v>
      </c>
      <c r="G65" s="5"/>
      <c r="H65">
        <f>16633-300-167-86</f>
        <v>16080</v>
      </c>
      <c r="I65" s="4">
        <f t="shared" si="6"/>
        <v>1.32</v>
      </c>
      <c r="J65" s="14">
        <f t="shared" si="7"/>
        <v>21225.600000000002</v>
      </c>
      <c r="K65" s="5"/>
      <c r="L65">
        <v>54</v>
      </c>
      <c r="M65">
        <f>VLOOKUP(L65,Regolamento!A:B,2,0)</f>
        <v>0.5</v>
      </c>
      <c r="N65" s="4">
        <f t="shared" si="8"/>
        <v>1.65</v>
      </c>
      <c r="O65" s="4">
        <f t="shared" si="9"/>
        <v>1.9</v>
      </c>
      <c r="P65" s="6">
        <f t="shared" si="10"/>
        <v>1.5674999999999999</v>
      </c>
      <c r="R65" s="6">
        <f t="shared" si="5"/>
        <v>247.38461538461539</v>
      </c>
      <c r="U65"/>
    </row>
    <row r="66" spans="1:21" x14ac:dyDescent="0.25">
      <c r="A66" t="s">
        <v>205</v>
      </c>
      <c r="B66" s="12" t="str">
        <f>VLOOKUP(A66,concorrenti!A:B,2,1)</f>
        <v>CASTELLOTTI</v>
      </c>
      <c r="C66" s="12">
        <f>VLOOKUP(A66,concorrenti!A:E,5,1)</f>
        <v>0</v>
      </c>
      <c r="D66" t="s">
        <v>241</v>
      </c>
      <c r="E66" t="s">
        <v>269</v>
      </c>
      <c r="F66">
        <v>1969</v>
      </c>
      <c r="G66" s="5"/>
      <c r="H66">
        <v>14803</v>
      </c>
      <c r="I66" s="4">
        <f t="shared" si="6"/>
        <v>1.69</v>
      </c>
      <c r="J66" s="14">
        <f t="shared" si="7"/>
        <v>25017.07</v>
      </c>
      <c r="K66" s="5"/>
      <c r="L66">
        <v>55</v>
      </c>
      <c r="M66">
        <f>VLOOKUP(L66,Regolamento!A:B,2,0)</f>
        <v>0.5</v>
      </c>
      <c r="N66" s="4">
        <f t="shared" si="8"/>
        <v>1.65</v>
      </c>
      <c r="O66" s="4">
        <f t="shared" si="9"/>
        <v>1.9</v>
      </c>
      <c r="P66" s="6">
        <f t="shared" si="10"/>
        <v>1.5674999999999999</v>
      </c>
      <c r="R66" s="6">
        <f t="shared" si="5"/>
        <v>227.73846153846154</v>
      </c>
      <c r="U66"/>
    </row>
    <row r="67" spans="1:21" x14ac:dyDescent="0.25">
      <c r="A67" t="s">
        <v>216</v>
      </c>
      <c r="B67" s="12" t="str">
        <f>VLOOKUP(A67,concorrenti!A:B,2,1)</f>
        <v>CLASSIC CLUB ITALIA</v>
      </c>
      <c r="C67" s="12">
        <f>VLOOKUP(A67,concorrenti!A:E,5,1)</f>
        <v>0</v>
      </c>
      <c r="D67" t="s">
        <v>232</v>
      </c>
      <c r="E67" t="s">
        <v>281</v>
      </c>
      <c r="F67">
        <v>1949</v>
      </c>
      <c r="H67">
        <v>16826</v>
      </c>
      <c r="I67" s="4">
        <f t="shared" si="6"/>
        <v>1.49</v>
      </c>
      <c r="J67" s="14">
        <f t="shared" si="7"/>
        <v>25070.74</v>
      </c>
      <c r="K67" s="5"/>
      <c r="L67">
        <v>56</v>
      </c>
      <c r="M67">
        <f>VLOOKUP(L67,Regolamento!A:B,2,0)</f>
        <v>0.5</v>
      </c>
      <c r="N67" s="4">
        <f t="shared" ref="N67" si="11">1+E$5/100</f>
        <v>1.65</v>
      </c>
      <c r="O67" s="4">
        <f t="shared" ref="O67" si="12">1+E$6/100</f>
        <v>1.9</v>
      </c>
      <c r="P67" s="6">
        <f t="shared" ref="P67" si="13">IF(H67&lt;&gt;0,+M67*N67*O67,0)</f>
        <v>1.5674999999999999</v>
      </c>
      <c r="R67" s="6">
        <f t="shared" ref="R67" si="14">+H67/E$5</f>
        <v>258.86153846153849</v>
      </c>
    </row>
    <row r="68" spans="1:21" x14ac:dyDescent="0.25">
      <c r="P68" s="6">
        <f>SUM(P12:P67)</f>
        <v>2658.4800000000018</v>
      </c>
    </row>
    <row r="69" spans="1:21" x14ac:dyDescent="0.25">
      <c r="P69" s="63">
        <f>+P68-Generale!H3</f>
        <v>0</v>
      </c>
    </row>
    <row r="70" spans="1:21" x14ac:dyDescent="0.25">
      <c r="P70" s="10" t="s">
        <v>7</v>
      </c>
    </row>
  </sheetData>
  <sheetProtection algorithmName="SHA-512" hashValue="IiW7GCvIRgPxknh53uwHMjrRtjfHwE2oDSPW8PoknBqywHOA68mPS3l/BvF6aOLekeje7pEXsWAhPtukP7VHpw==" saltValue="UeUTf+jw1BJefept5OCCxA==" spinCount="100000" sheet="1" objects="1" scenarios="1"/>
  <sortState xmlns:xlrd2="http://schemas.microsoft.com/office/spreadsheetml/2017/richdata2" ref="A12:J67">
    <sortCondition ref="J12:J67"/>
  </sortState>
  <mergeCells count="3">
    <mergeCell ref="G1:O1"/>
    <mergeCell ref="H8:J8"/>
    <mergeCell ref="N8:O8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V65"/>
  <sheetViews>
    <sheetView workbookViewId="0">
      <selection activeCell="W35" sqref="W35"/>
    </sheetView>
  </sheetViews>
  <sheetFormatPr defaultRowHeight="15" x14ac:dyDescent="0.25"/>
  <cols>
    <col min="1" max="1" width="23.140625" bestFit="1" customWidth="1"/>
    <col min="2" max="2" width="19.42578125" bestFit="1" customWidth="1"/>
    <col min="3" max="3" width="9.140625" style="1" bestFit="1" customWidth="1"/>
    <col min="4" max="4" width="32" customWidth="1"/>
    <col min="5" max="5" width="20.42578125" bestFit="1" customWidth="1"/>
    <col min="6" max="6" width="5.7109375" bestFit="1" customWidth="1"/>
    <col min="7" max="7" width="2.42578125" customWidth="1"/>
    <col min="8" max="8" width="8.28515625" bestFit="1" customWidth="1"/>
    <col min="9" max="9" width="9.140625" style="4" bestFit="1" customWidth="1"/>
    <col min="10" max="10" width="13.28515625" style="4" bestFit="1" customWidth="1"/>
    <col min="11" max="11" width="3" customWidth="1"/>
    <col min="12" max="13" width="5.7109375" bestFit="1" customWidth="1"/>
    <col min="14" max="14" width="6.140625" bestFit="1" customWidth="1"/>
    <col min="15" max="15" width="8.140625" bestFit="1" customWidth="1"/>
    <col min="16" max="16" width="9.5703125" bestFit="1" customWidth="1"/>
    <col min="17" max="17" width="4.140625" customWidth="1"/>
    <col min="19" max="19" width="5" customWidth="1"/>
    <col min="20" max="20" width="18.140625" bestFit="1" customWidth="1"/>
    <col min="21" max="21" width="9" style="4"/>
    <col min="22" max="22" width="2.85546875" bestFit="1" customWidth="1"/>
  </cols>
  <sheetData>
    <row r="1" spans="1:22" ht="15.75" x14ac:dyDescent="0.25">
      <c r="A1" t="s">
        <v>47</v>
      </c>
      <c r="H1" s="141" t="s">
        <v>103</v>
      </c>
      <c r="I1" s="141"/>
      <c r="J1" s="141"/>
      <c r="K1" s="141"/>
      <c r="L1" s="141"/>
      <c r="M1" s="141"/>
      <c r="N1" s="141"/>
      <c r="O1" s="141"/>
      <c r="P1" s="141"/>
      <c r="T1" t="s">
        <v>98</v>
      </c>
      <c r="U1" s="4">
        <v>474.05</v>
      </c>
      <c r="V1">
        <v>15</v>
      </c>
    </row>
    <row r="2" spans="1:22" ht="14.25" x14ac:dyDescent="0.25">
      <c r="A2" t="s">
        <v>48</v>
      </c>
      <c r="E2" s="35">
        <v>45066</v>
      </c>
      <c r="T2" t="s">
        <v>99</v>
      </c>
      <c r="U2" s="4">
        <v>345.2</v>
      </c>
      <c r="V2">
        <v>12</v>
      </c>
    </row>
    <row r="3" spans="1:22" ht="14.25" x14ac:dyDescent="0.25">
      <c r="A3" t="s">
        <v>65</v>
      </c>
      <c r="E3" s="35" t="s">
        <v>104</v>
      </c>
      <c r="T3" t="s">
        <v>66</v>
      </c>
      <c r="U3" s="4">
        <v>155.58000000000001</v>
      </c>
      <c r="V3">
        <v>10</v>
      </c>
    </row>
    <row r="4" spans="1:22" ht="14.25" x14ac:dyDescent="0.25">
      <c r="A4" t="s">
        <v>52</v>
      </c>
      <c r="E4" s="1" t="s">
        <v>298</v>
      </c>
      <c r="T4" t="s">
        <v>68</v>
      </c>
      <c r="U4" s="4">
        <v>148.29</v>
      </c>
      <c r="V4">
        <v>8</v>
      </c>
    </row>
    <row r="5" spans="1:22" ht="14.25" x14ac:dyDescent="0.25">
      <c r="A5" t="s">
        <v>50</v>
      </c>
      <c r="E5" s="1">
        <v>70</v>
      </c>
      <c r="T5" t="s">
        <v>175</v>
      </c>
      <c r="U5" s="4">
        <v>119.12</v>
      </c>
      <c r="V5">
        <v>7</v>
      </c>
    </row>
    <row r="6" spans="1:22" ht="14.25" x14ac:dyDescent="0.25">
      <c r="A6" t="s">
        <v>51</v>
      </c>
      <c r="E6" s="1">
        <v>43</v>
      </c>
      <c r="T6" t="s">
        <v>376</v>
      </c>
      <c r="U6" s="4">
        <v>109.4</v>
      </c>
      <c r="V6">
        <v>6</v>
      </c>
    </row>
    <row r="7" spans="1:22" ht="14.25" x14ac:dyDescent="0.25">
      <c r="D7" s="1"/>
      <c r="T7" t="s">
        <v>100</v>
      </c>
      <c r="U7" s="4">
        <v>97.24</v>
      </c>
      <c r="V7">
        <v>5</v>
      </c>
    </row>
    <row r="8" spans="1:22" x14ac:dyDescent="0.25">
      <c r="A8" s="36" t="s">
        <v>44</v>
      </c>
      <c r="B8" s="96" t="s">
        <v>483</v>
      </c>
      <c r="C8" s="74" t="s">
        <v>46</v>
      </c>
      <c r="D8" s="18" t="s">
        <v>55</v>
      </c>
      <c r="E8" s="18" t="s">
        <v>56</v>
      </c>
      <c r="F8" s="19" t="s">
        <v>57</v>
      </c>
      <c r="H8" s="142" t="s">
        <v>53</v>
      </c>
      <c r="I8" s="140"/>
      <c r="J8" s="143"/>
      <c r="K8" s="2"/>
      <c r="L8" s="27" t="s">
        <v>54</v>
      </c>
      <c r="M8" s="30"/>
      <c r="N8" s="140" t="s">
        <v>8</v>
      </c>
      <c r="O8" s="140"/>
      <c r="P8" s="31"/>
      <c r="T8" t="s">
        <v>171</v>
      </c>
      <c r="U8" s="4">
        <v>34.03</v>
      </c>
      <c r="V8">
        <v>4</v>
      </c>
    </row>
    <row r="9" spans="1:22" ht="14.25" x14ac:dyDescent="0.25">
      <c r="H9" s="20" t="s">
        <v>36</v>
      </c>
      <c r="I9" s="21" t="s">
        <v>38</v>
      </c>
      <c r="J9" s="22" t="s">
        <v>0</v>
      </c>
      <c r="K9" s="7"/>
      <c r="L9" s="28"/>
      <c r="M9" s="32" t="s">
        <v>0</v>
      </c>
      <c r="N9" s="21" t="s">
        <v>9</v>
      </c>
      <c r="O9" s="21" t="s">
        <v>5</v>
      </c>
      <c r="P9" s="33" t="s">
        <v>11</v>
      </c>
    </row>
    <row r="10" spans="1:22" ht="14.25" x14ac:dyDescent="0.25">
      <c r="H10" s="23" t="s">
        <v>37</v>
      </c>
      <c r="I10" s="24"/>
      <c r="J10" s="25" t="s">
        <v>39</v>
      </c>
      <c r="K10" s="6"/>
      <c r="L10" s="29"/>
      <c r="M10" s="34"/>
      <c r="N10" s="24"/>
      <c r="O10" s="24"/>
      <c r="P10" s="25"/>
    </row>
    <row r="11" spans="1:22" ht="14.25" x14ac:dyDescent="0.25">
      <c r="B11" s="12" t="s">
        <v>7</v>
      </c>
      <c r="R11" s="3" t="s">
        <v>169</v>
      </c>
    </row>
    <row r="12" spans="1:22" x14ac:dyDescent="0.25">
      <c r="A12" s="9" t="s">
        <v>15</v>
      </c>
      <c r="B12" s="12" t="str">
        <f>VLOOKUP(A12,concorrenti!A:B,2,1)</f>
        <v>OROBICO</v>
      </c>
      <c r="C12" s="12">
        <f>VLOOKUP(A12,concorrenti!A:E,5,1)</f>
        <v>0</v>
      </c>
      <c r="D12" s="80" t="s">
        <v>335</v>
      </c>
      <c r="E12" t="s">
        <v>319</v>
      </c>
      <c r="F12">
        <v>1954</v>
      </c>
      <c r="H12">
        <v>253</v>
      </c>
      <c r="I12" s="4">
        <f t="shared" ref="I12:I45" si="0">IF(C12&lt;&gt;0,((1+RIGHT(F12,2)/100)-0.1),(1+RIGHT(F12,2)/100))</f>
        <v>1.54</v>
      </c>
      <c r="J12" s="4">
        <f t="shared" ref="J12:J45" si="1">+I12*H12</f>
        <v>389.62</v>
      </c>
      <c r="L12">
        <v>1</v>
      </c>
      <c r="M12">
        <f>VLOOKUP(L12,Regolamento!A:B,2,1)</f>
        <v>50</v>
      </c>
      <c r="N12" s="4">
        <f t="shared" ref="N12:N44" si="2">1+E$5/100</f>
        <v>1.7</v>
      </c>
      <c r="O12" s="4">
        <f t="shared" ref="O12:O44" si="3">1+E$6/100</f>
        <v>1.43</v>
      </c>
      <c r="P12" s="6">
        <f t="shared" ref="P12:P44" si="4">IF(H12&lt;&gt;0,+M12*N12*O12,0)</f>
        <v>121.55</v>
      </c>
      <c r="R12" s="6">
        <f>+H12/E$5</f>
        <v>3.6142857142857143</v>
      </c>
      <c r="V12" s="63"/>
    </row>
    <row r="13" spans="1:22" x14ac:dyDescent="0.25">
      <c r="A13" s="80" t="s">
        <v>398</v>
      </c>
      <c r="B13" s="12" t="str">
        <f>VLOOKUP(A13,concorrenti!A:B,2,1)</f>
        <v>GAMS</v>
      </c>
      <c r="C13" s="12">
        <f>VLOOKUP(A13,concorrenti!A:E,5,1)</f>
        <v>0</v>
      </c>
      <c r="D13" s="80" t="s">
        <v>121</v>
      </c>
      <c r="E13" t="s">
        <v>323</v>
      </c>
      <c r="F13">
        <v>1995</v>
      </c>
      <c r="H13">
        <v>240</v>
      </c>
      <c r="I13" s="4">
        <f t="shared" si="0"/>
        <v>1.95</v>
      </c>
      <c r="J13" s="4">
        <f t="shared" si="1"/>
        <v>468</v>
      </c>
      <c r="L13">
        <v>2</v>
      </c>
      <c r="M13">
        <f>VLOOKUP(L13,Regolamento!A:B,2,1)</f>
        <v>45</v>
      </c>
      <c r="N13" s="4">
        <f t="shared" si="2"/>
        <v>1.7</v>
      </c>
      <c r="O13" s="4">
        <f t="shared" si="3"/>
        <v>1.43</v>
      </c>
      <c r="P13" s="6">
        <f t="shared" si="4"/>
        <v>109.395</v>
      </c>
      <c r="R13" s="6">
        <f t="shared" ref="R13:R44" si="5">+H13/E$5</f>
        <v>3.4285714285714284</v>
      </c>
      <c r="V13" s="63"/>
    </row>
    <row r="14" spans="1:22" x14ac:dyDescent="0.25">
      <c r="A14" s="80" t="s">
        <v>302</v>
      </c>
      <c r="B14" s="12" t="str">
        <f>VLOOKUP(A14,concorrenti!A:B,2,1)</f>
        <v>OROBICO</v>
      </c>
      <c r="C14" s="12">
        <f>VLOOKUP(A14,concorrenti!A:E,5,1)</f>
        <v>0</v>
      </c>
      <c r="D14" s="80" t="s">
        <v>234</v>
      </c>
      <c r="E14" t="s">
        <v>287</v>
      </c>
      <c r="F14">
        <v>1973</v>
      </c>
      <c r="H14">
        <v>277</v>
      </c>
      <c r="I14" s="4">
        <f t="shared" si="0"/>
        <v>1.73</v>
      </c>
      <c r="J14" s="4">
        <f t="shared" si="1"/>
        <v>479.21</v>
      </c>
      <c r="L14">
        <v>3</v>
      </c>
      <c r="M14">
        <f>VLOOKUP(L14,Regolamento!A:B,2,1)</f>
        <v>41</v>
      </c>
      <c r="N14" s="4">
        <f t="shared" si="2"/>
        <v>1.7</v>
      </c>
      <c r="O14" s="4">
        <f t="shared" si="3"/>
        <v>1.43</v>
      </c>
      <c r="P14" s="6">
        <f t="shared" si="4"/>
        <v>99.671000000000006</v>
      </c>
      <c r="R14" s="6">
        <f t="shared" si="5"/>
        <v>3.9571428571428573</v>
      </c>
      <c r="V14" s="63"/>
    </row>
    <row r="15" spans="1:22" x14ac:dyDescent="0.25">
      <c r="A15" s="8" t="s">
        <v>12</v>
      </c>
      <c r="B15" s="12" t="str">
        <f>VLOOKUP(A15,concorrenti!A:B,2,1)</f>
        <v>VAMS</v>
      </c>
      <c r="C15" s="12">
        <f>VLOOKUP(A15,concorrenti!A:E,5,1)</f>
        <v>0</v>
      </c>
      <c r="D15" s="80" t="s">
        <v>236</v>
      </c>
      <c r="E15" t="s">
        <v>160</v>
      </c>
      <c r="F15">
        <v>1960</v>
      </c>
      <c r="H15">
        <v>325</v>
      </c>
      <c r="I15" s="4">
        <f t="shared" si="0"/>
        <v>1.6</v>
      </c>
      <c r="J15" s="4">
        <f t="shared" si="1"/>
        <v>520</v>
      </c>
      <c r="L15">
        <v>4</v>
      </c>
      <c r="M15">
        <f>VLOOKUP(L15,Regolamento!A:B,2,1)</f>
        <v>38</v>
      </c>
      <c r="N15" s="4">
        <f t="shared" si="2"/>
        <v>1.7</v>
      </c>
      <c r="O15" s="4">
        <f t="shared" si="3"/>
        <v>1.43</v>
      </c>
      <c r="P15" s="6">
        <f t="shared" si="4"/>
        <v>92.377999999999986</v>
      </c>
      <c r="R15" s="6">
        <f t="shared" si="5"/>
        <v>4.6428571428571432</v>
      </c>
      <c r="V15" s="63"/>
    </row>
    <row r="16" spans="1:22" x14ac:dyDescent="0.25">
      <c r="A16" s="80" t="s">
        <v>21</v>
      </c>
      <c r="B16" s="12" t="str">
        <f>VLOOKUP(A16,concorrenti!A:B,2,1)</f>
        <v>CAVEM</v>
      </c>
      <c r="C16" s="12">
        <f>VLOOKUP(A16,concorrenti!A:E,5,1)</f>
        <v>0</v>
      </c>
      <c r="D16" s="80" t="s">
        <v>121</v>
      </c>
      <c r="E16" t="s">
        <v>122</v>
      </c>
      <c r="F16">
        <v>1972</v>
      </c>
      <c r="H16">
        <v>314</v>
      </c>
      <c r="I16" s="4">
        <f t="shared" si="0"/>
        <v>1.72</v>
      </c>
      <c r="J16" s="4">
        <f t="shared" si="1"/>
        <v>540.08000000000004</v>
      </c>
      <c r="L16">
        <v>5</v>
      </c>
      <c r="M16">
        <f>VLOOKUP(L16,Regolamento!A:B,2,1)</f>
        <v>36</v>
      </c>
      <c r="N16" s="4">
        <f t="shared" si="2"/>
        <v>1.7</v>
      </c>
      <c r="O16" s="4">
        <f t="shared" si="3"/>
        <v>1.43</v>
      </c>
      <c r="P16" s="6">
        <f t="shared" si="4"/>
        <v>87.515999999999991</v>
      </c>
      <c r="R16" s="6">
        <f t="shared" si="5"/>
        <v>4.4857142857142858</v>
      </c>
      <c r="V16" s="63"/>
    </row>
    <row r="17" spans="1:22" x14ac:dyDescent="0.25">
      <c r="A17" s="80" t="s">
        <v>217</v>
      </c>
      <c r="B17" s="12" t="str">
        <f>VLOOKUP(A17,concorrenti!A:B,2,1)</f>
        <v>OROBICO</v>
      </c>
      <c r="C17" s="12" t="str">
        <f>VLOOKUP(A17,concorrenti!A:E,5,1)</f>
        <v>X</v>
      </c>
      <c r="D17" s="80" t="s">
        <v>232</v>
      </c>
      <c r="E17" t="s">
        <v>282</v>
      </c>
      <c r="F17">
        <v>1972</v>
      </c>
      <c r="H17">
        <v>348</v>
      </c>
      <c r="I17" s="4">
        <f t="shared" si="0"/>
        <v>1.6199999999999999</v>
      </c>
      <c r="J17" s="4">
        <f t="shared" si="1"/>
        <v>563.76</v>
      </c>
      <c r="K17" s="9"/>
      <c r="L17">
        <v>6</v>
      </c>
      <c r="M17">
        <f>VLOOKUP(L17,Regolamento!A:B,2,1)</f>
        <v>35</v>
      </c>
      <c r="N17" s="4">
        <f t="shared" si="2"/>
        <v>1.7</v>
      </c>
      <c r="O17" s="4">
        <f t="shared" si="3"/>
        <v>1.43</v>
      </c>
      <c r="P17" s="6">
        <f t="shared" si="4"/>
        <v>85.084999999999994</v>
      </c>
      <c r="R17" s="6">
        <f t="shared" si="5"/>
        <v>4.9714285714285715</v>
      </c>
      <c r="V17" s="63"/>
    </row>
    <row r="18" spans="1:22" x14ac:dyDescent="0.25">
      <c r="A18" s="80" t="s">
        <v>311</v>
      </c>
      <c r="B18" s="12" t="str">
        <f>VLOOKUP(A18,concorrenti!A:B,2,1)</f>
        <v>OROBICO</v>
      </c>
      <c r="C18" s="12" t="str">
        <f>VLOOKUP(A18,concorrenti!A:E,5,1)</f>
        <v>X</v>
      </c>
      <c r="D18" s="80" t="s">
        <v>121</v>
      </c>
      <c r="E18" t="s">
        <v>333</v>
      </c>
      <c r="F18">
        <v>1956</v>
      </c>
      <c r="H18">
        <v>401</v>
      </c>
      <c r="I18" s="4">
        <f t="shared" si="0"/>
        <v>1.46</v>
      </c>
      <c r="J18" s="4">
        <f t="shared" si="1"/>
        <v>585.46</v>
      </c>
      <c r="L18">
        <v>7</v>
      </c>
      <c r="M18">
        <f>VLOOKUP(L18,Regolamento!A:B,2,1)</f>
        <v>34</v>
      </c>
      <c r="N18" s="4">
        <f t="shared" si="2"/>
        <v>1.7</v>
      </c>
      <c r="O18" s="4">
        <f t="shared" si="3"/>
        <v>1.43</v>
      </c>
      <c r="P18" s="6">
        <f t="shared" si="4"/>
        <v>82.653999999999996</v>
      </c>
      <c r="R18" s="6">
        <f t="shared" si="5"/>
        <v>5.7285714285714286</v>
      </c>
      <c r="V18" s="63"/>
    </row>
    <row r="19" spans="1:22" x14ac:dyDescent="0.25">
      <c r="A19" s="80" t="s">
        <v>23</v>
      </c>
      <c r="B19" s="12" t="str">
        <f>VLOOKUP(A19,concorrenti!A:B,2,1)</f>
        <v>CASTELLOTTI</v>
      </c>
      <c r="C19" s="12">
        <f>VLOOKUP(A19,concorrenti!A:E,5,1)</f>
        <v>0</v>
      </c>
      <c r="D19" s="80" t="s">
        <v>234</v>
      </c>
      <c r="E19" t="s">
        <v>251</v>
      </c>
      <c r="F19">
        <v>1976</v>
      </c>
      <c r="H19">
        <v>357</v>
      </c>
      <c r="I19" s="4">
        <f t="shared" si="0"/>
        <v>1.76</v>
      </c>
      <c r="J19" s="4">
        <f t="shared" si="1"/>
        <v>628.32000000000005</v>
      </c>
      <c r="L19">
        <v>8</v>
      </c>
      <c r="M19">
        <f>VLOOKUP(L19,Regolamento!A:B,2,1)</f>
        <v>33</v>
      </c>
      <c r="N19" s="4">
        <f t="shared" si="2"/>
        <v>1.7</v>
      </c>
      <c r="O19" s="4">
        <f t="shared" si="3"/>
        <v>1.43</v>
      </c>
      <c r="P19" s="6">
        <f t="shared" si="4"/>
        <v>80.222999999999999</v>
      </c>
      <c r="R19" s="6">
        <f t="shared" si="5"/>
        <v>5.0999999999999996</v>
      </c>
      <c r="V19" s="63"/>
    </row>
    <row r="20" spans="1:22" x14ac:dyDescent="0.25">
      <c r="A20" s="80" t="s">
        <v>69</v>
      </c>
      <c r="B20" s="12" t="str">
        <f>VLOOKUP(A20,concorrenti!A:B,2,1)</f>
        <v>CASTELLOTTI</v>
      </c>
      <c r="C20" s="12">
        <f>VLOOKUP(A20,concorrenti!A:E,5,1)</f>
        <v>0</v>
      </c>
      <c r="D20" s="80" t="s">
        <v>121</v>
      </c>
      <c r="E20" t="s">
        <v>327</v>
      </c>
      <c r="F20">
        <v>1976</v>
      </c>
      <c r="G20" s="8"/>
      <c r="H20">
        <v>379</v>
      </c>
      <c r="I20" s="4">
        <f t="shared" si="0"/>
        <v>1.76</v>
      </c>
      <c r="J20" s="4">
        <f t="shared" si="1"/>
        <v>667.04</v>
      </c>
      <c r="L20">
        <v>9</v>
      </c>
      <c r="M20">
        <f>VLOOKUP(L20,Regolamento!A:B,2,1)</f>
        <v>32</v>
      </c>
      <c r="N20" s="4">
        <f t="shared" si="2"/>
        <v>1.7</v>
      </c>
      <c r="O20" s="4">
        <f t="shared" si="3"/>
        <v>1.43</v>
      </c>
      <c r="P20" s="6">
        <f t="shared" si="4"/>
        <v>77.792000000000002</v>
      </c>
      <c r="R20" s="6">
        <f t="shared" si="5"/>
        <v>5.4142857142857146</v>
      </c>
      <c r="T20" t="s">
        <v>7</v>
      </c>
      <c r="V20" s="63"/>
    </row>
    <row r="21" spans="1:22" x14ac:dyDescent="0.25">
      <c r="A21" s="80" t="s">
        <v>76</v>
      </c>
      <c r="B21" s="12" t="str">
        <f>VLOOKUP(A21,concorrenti!A:B,2,1)</f>
        <v>CASTELLOTTI</v>
      </c>
      <c r="C21" s="12">
        <f>VLOOKUP(A21,concorrenti!A:E,5,1)</f>
        <v>0</v>
      </c>
      <c r="D21" s="80" t="s">
        <v>121</v>
      </c>
      <c r="E21" t="s">
        <v>250</v>
      </c>
      <c r="F21">
        <v>1970</v>
      </c>
      <c r="G21" s="9"/>
      <c r="H21">
        <v>407</v>
      </c>
      <c r="I21" s="4">
        <f t="shared" si="0"/>
        <v>1.7</v>
      </c>
      <c r="J21" s="4">
        <f t="shared" si="1"/>
        <v>691.9</v>
      </c>
      <c r="L21">
        <v>10</v>
      </c>
      <c r="M21">
        <f>VLOOKUP(L21,Regolamento!A:B,2,1)</f>
        <v>31</v>
      </c>
      <c r="N21" s="4">
        <f t="shared" si="2"/>
        <v>1.7</v>
      </c>
      <c r="O21" s="4">
        <f t="shared" si="3"/>
        <v>1.43</v>
      </c>
      <c r="P21" s="6">
        <f t="shared" si="4"/>
        <v>75.36099999999999</v>
      </c>
      <c r="R21" s="6">
        <f t="shared" si="5"/>
        <v>5.8142857142857141</v>
      </c>
      <c r="T21" t="s">
        <v>7</v>
      </c>
      <c r="V21" s="63"/>
    </row>
    <row r="22" spans="1:22" x14ac:dyDescent="0.25">
      <c r="A22" s="8" t="s">
        <v>218</v>
      </c>
      <c r="B22" s="12" t="str">
        <f>VLOOKUP(A22,concorrenti!A:B,2,1)</f>
        <v>OROBICO</v>
      </c>
      <c r="C22" s="12">
        <f>VLOOKUP(A22,concorrenti!A:E,5,1)</f>
        <v>0</v>
      </c>
      <c r="D22" s="80" t="s">
        <v>121</v>
      </c>
      <c r="E22" t="s">
        <v>328</v>
      </c>
      <c r="F22">
        <v>1954</v>
      </c>
      <c r="G22" s="9"/>
      <c r="H22">
        <v>477</v>
      </c>
      <c r="I22" s="4">
        <f t="shared" si="0"/>
        <v>1.54</v>
      </c>
      <c r="J22" s="4">
        <f t="shared" si="1"/>
        <v>734.58</v>
      </c>
      <c r="L22">
        <v>11</v>
      </c>
      <c r="M22">
        <f>VLOOKUP(L22,Regolamento!A:B,2,1)</f>
        <v>30</v>
      </c>
      <c r="N22" s="4">
        <f t="shared" si="2"/>
        <v>1.7</v>
      </c>
      <c r="O22" s="4">
        <f t="shared" si="3"/>
        <v>1.43</v>
      </c>
      <c r="P22" s="6">
        <f t="shared" si="4"/>
        <v>72.929999999999993</v>
      </c>
      <c r="R22" s="6">
        <f t="shared" si="5"/>
        <v>6.8142857142857141</v>
      </c>
      <c r="T22" t="s">
        <v>7</v>
      </c>
      <c r="V22" s="63"/>
    </row>
    <row r="23" spans="1:22" x14ac:dyDescent="0.25">
      <c r="A23" s="80" t="s">
        <v>303</v>
      </c>
      <c r="B23" s="12" t="str">
        <f>VLOOKUP(A23,concorrenti!A:B,2,1)</f>
        <v>OROBICO</v>
      </c>
      <c r="C23" s="12">
        <f>VLOOKUP(A23,concorrenti!A:E,5,1)</f>
        <v>0</v>
      </c>
      <c r="D23" s="80" t="s">
        <v>234</v>
      </c>
      <c r="E23" t="s">
        <v>317</v>
      </c>
      <c r="F23">
        <v>1973</v>
      </c>
      <c r="H23">
        <v>457</v>
      </c>
      <c r="I23" s="4">
        <f t="shared" si="0"/>
        <v>1.73</v>
      </c>
      <c r="J23" s="4">
        <f t="shared" si="1"/>
        <v>790.61</v>
      </c>
      <c r="L23">
        <v>12</v>
      </c>
      <c r="M23">
        <f>VLOOKUP(L23,Regolamento!A:B,2,1)</f>
        <v>29</v>
      </c>
      <c r="N23" s="4">
        <f t="shared" si="2"/>
        <v>1.7</v>
      </c>
      <c r="O23" s="4">
        <f t="shared" si="3"/>
        <v>1.43</v>
      </c>
      <c r="P23" s="6">
        <f t="shared" si="4"/>
        <v>70.498999999999995</v>
      </c>
      <c r="R23" s="6">
        <f t="shared" si="5"/>
        <v>6.5285714285714285</v>
      </c>
      <c r="T23" t="s">
        <v>7</v>
      </c>
      <c r="V23" s="63"/>
    </row>
    <row r="24" spans="1:22" x14ac:dyDescent="0.25">
      <c r="A24" s="80" t="s">
        <v>309</v>
      </c>
      <c r="B24" s="12" t="str">
        <f>VLOOKUP(A24,concorrenti!A:B,2,1)</f>
        <v>VCC COMO</v>
      </c>
      <c r="C24" s="12">
        <f>VLOOKUP(A24,concorrenti!A:E,5,1)</f>
        <v>0</v>
      </c>
      <c r="D24" s="80" t="s">
        <v>339</v>
      </c>
      <c r="E24" t="s">
        <v>325</v>
      </c>
      <c r="F24">
        <v>1968</v>
      </c>
      <c r="H24">
        <v>472</v>
      </c>
      <c r="I24" s="4">
        <f t="shared" si="0"/>
        <v>1.6800000000000002</v>
      </c>
      <c r="J24" s="4">
        <f t="shared" si="1"/>
        <v>792.96</v>
      </c>
      <c r="L24">
        <v>13</v>
      </c>
      <c r="M24">
        <f>VLOOKUP(L24,Regolamento!A:B,2,1)</f>
        <v>28</v>
      </c>
      <c r="N24" s="4">
        <f t="shared" si="2"/>
        <v>1.7</v>
      </c>
      <c r="O24" s="4">
        <f t="shared" si="3"/>
        <v>1.43</v>
      </c>
      <c r="P24" s="6">
        <f t="shared" si="4"/>
        <v>68.067999999999998</v>
      </c>
      <c r="R24" s="6">
        <f t="shared" si="5"/>
        <v>6.7428571428571429</v>
      </c>
      <c r="V24" s="63"/>
    </row>
    <row r="25" spans="1:22" x14ac:dyDescent="0.25">
      <c r="A25" s="8" t="s">
        <v>17</v>
      </c>
      <c r="B25" s="12" t="str">
        <f>VLOOKUP(A25,concorrenti!A:B,2,1)</f>
        <v>VAMS</v>
      </c>
      <c r="C25" s="12">
        <f>VLOOKUP(A25,concorrenti!A:E,5,1)</f>
        <v>0</v>
      </c>
      <c r="D25" s="80" t="s">
        <v>236</v>
      </c>
      <c r="E25" t="s">
        <v>133</v>
      </c>
      <c r="F25">
        <v>1962</v>
      </c>
      <c r="H25">
        <v>600</v>
      </c>
      <c r="I25" s="4">
        <f t="shared" si="0"/>
        <v>1.62</v>
      </c>
      <c r="J25" s="4">
        <f t="shared" si="1"/>
        <v>972.00000000000011</v>
      </c>
      <c r="L25">
        <v>14</v>
      </c>
      <c r="M25">
        <f>VLOOKUP(L25,Regolamento!A:B,2,1)</f>
        <v>27</v>
      </c>
      <c r="N25" s="4">
        <f t="shared" si="2"/>
        <v>1.7</v>
      </c>
      <c r="O25" s="4">
        <f t="shared" si="3"/>
        <v>1.43</v>
      </c>
      <c r="P25" s="6">
        <f t="shared" si="4"/>
        <v>65.637</v>
      </c>
      <c r="R25" s="6">
        <f t="shared" si="5"/>
        <v>8.5714285714285712</v>
      </c>
      <c r="V25" s="63"/>
    </row>
    <row r="26" spans="1:22" x14ac:dyDescent="0.25">
      <c r="A26" s="80" t="s">
        <v>29</v>
      </c>
      <c r="B26" s="12" t="str">
        <f>VLOOKUP(A26,concorrenti!A:B,2,1)</f>
        <v>OROBICO</v>
      </c>
      <c r="C26" s="12">
        <f>VLOOKUP(A26,concorrenti!A:E,5,1)</f>
        <v>0</v>
      </c>
      <c r="D26" s="80" t="s">
        <v>337</v>
      </c>
      <c r="E26" t="s">
        <v>321</v>
      </c>
      <c r="F26">
        <v>1973</v>
      </c>
      <c r="H26">
        <v>570</v>
      </c>
      <c r="I26" s="4">
        <f t="shared" si="0"/>
        <v>1.73</v>
      </c>
      <c r="J26" s="4">
        <f t="shared" si="1"/>
        <v>986.1</v>
      </c>
      <c r="L26">
        <v>15</v>
      </c>
      <c r="M26">
        <f>VLOOKUP(L26,Regolamento!A:B,2,1)</f>
        <v>26</v>
      </c>
      <c r="N26" s="4">
        <f t="shared" si="2"/>
        <v>1.7</v>
      </c>
      <c r="O26" s="4">
        <f t="shared" si="3"/>
        <v>1.43</v>
      </c>
      <c r="P26" s="6">
        <f t="shared" si="4"/>
        <v>63.205999999999989</v>
      </c>
      <c r="R26" s="6">
        <f t="shared" si="5"/>
        <v>8.1428571428571423</v>
      </c>
      <c r="V26" s="63"/>
    </row>
    <row r="27" spans="1:22" x14ac:dyDescent="0.25">
      <c r="A27" s="80" t="s">
        <v>315</v>
      </c>
      <c r="B27" s="12" t="str">
        <f>VLOOKUP(A27,concorrenti!A:B,2,1)</f>
        <v>VALTELLINA</v>
      </c>
      <c r="C27" s="12">
        <f>VLOOKUP(A27,concorrenti!A:E,5,1)</f>
        <v>0</v>
      </c>
      <c r="D27" s="80" t="s">
        <v>232</v>
      </c>
      <c r="E27" t="s">
        <v>270</v>
      </c>
      <c r="F27">
        <v>1987</v>
      </c>
      <c r="H27">
        <v>539</v>
      </c>
      <c r="I27" s="4">
        <f t="shared" si="0"/>
        <v>1.87</v>
      </c>
      <c r="J27" s="4">
        <f t="shared" si="1"/>
        <v>1007.9300000000001</v>
      </c>
      <c r="L27">
        <v>16</v>
      </c>
      <c r="M27">
        <f>VLOOKUP(L27,Regolamento!A:B,2,1)</f>
        <v>25</v>
      </c>
      <c r="N27" s="4">
        <f t="shared" si="2"/>
        <v>1.7</v>
      </c>
      <c r="O27" s="4">
        <f t="shared" si="3"/>
        <v>1.43</v>
      </c>
      <c r="P27" s="6">
        <f t="shared" si="4"/>
        <v>60.774999999999999</v>
      </c>
      <c r="R27" s="6">
        <f t="shared" si="5"/>
        <v>7.7</v>
      </c>
      <c r="V27" s="63"/>
    </row>
    <row r="28" spans="1:22" x14ac:dyDescent="0.25">
      <c r="A28" s="80" t="s">
        <v>305</v>
      </c>
      <c r="B28" s="12" t="str">
        <f>VLOOKUP(A28,concorrenti!A:B,2,1)</f>
        <v>OROBICO</v>
      </c>
      <c r="C28" s="12">
        <f>VLOOKUP(A28,concorrenti!A:E,5,1)</f>
        <v>0</v>
      </c>
      <c r="D28" s="80" t="s">
        <v>336</v>
      </c>
      <c r="E28" t="s">
        <v>320</v>
      </c>
      <c r="F28">
        <v>1968</v>
      </c>
      <c r="H28">
        <v>625</v>
      </c>
      <c r="I28" s="4">
        <f t="shared" si="0"/>
        <v>1.6800000000000002</v>
      </c>
      <c r="J28" s="4">
        <f t="shared" si="1"/>
        <v>1050</v>
      </c>
      <c r="L28">
        <v>17</v>
      </c>
      <c r="M28">
        <f>VLOOKUP(L28,Regolamento!A:B,2,1)</f>
        <v>24</v>
      </c>
      <c r="N28" s="4">
        <f t="shared" si="2"/>
        <v>1.7</v>
      </c>
      <c r="O28" s="4">
        <f t="shared" si="3"/>
        <v>1.43</v>
      </c>
      <c r="P28" s="6">
        <f t="shared" si="4"/>
        <v>58.343999999999994</v>
      </c>
      <c r="R28" s="6">
        <f t="shared" si="5"/>
        <v>8.9285714285714288</v>
      </c>
      <c r="V28" s="63"/>
    </row>
    <row r="29" spans="1:22" x14ac:dyDescent="0.25">
      <c r="A29" s="80" t="s">
        <v>81</v>
      </c>
      <c r="B29" s="12" t="str">
        <f>VLOOKUP(A29,concorrenti!A:B,2,1)</f>
        <v>CASTELLOTTI</v>
      </c>
      <c r="C29" s="12">
        <f>VLOOKUP(A29,concorrenti!A:E,5,1)</f>
        <v>0</v>
      </c>
      <c r="D29" s="80" t="s">
        <v>151</v>
      </c>
      <c r="E29" t="s">
        <v>152</v>
      </c>
      <c r="F29">
        <v>1981</v>
      </c>
      <c r="H29">
        <v>696</v>
      </c>
      <c r="I29" s="4">
        <f t="shared" si="0"/>
        <v>1.81</v>
      </c>
      <c r="J29" s="4">
        <f t="shared" si="1"/>
        <v>1259.76</v>
      </c>
      <c r="L29">
        <v>18</v>
      </c>
      <c r="M29">
        <f>VLOOKUP(L29,Regolamento!A:B,2,1)</f>
        <v>23</v>
      </c>
      <c r="N29" s="4">
        <f t="shared" si="2"/>
        <v>1.7</v>
      </c>
      <c r="O29" s="4">
        <f t="shared" si="3"/>
        <v>1.43</v>
      </c>
      <c r="P29" s="6">
        <f t="shared" si="4"/>
        <v>55.912999999999997</v>
      </c>
      <c r="R29" s="6">
        <f t="shared" si="5"/>
        <v>9.9428571428571431</v>
      </c>
      <c r="V29" s="63"/>
    </row>
    <row r="30" spans="1:22" x14ac:dyDescent="0.25">
      <c r="A30" s="80" t="s">
        <v>16</v>
      </c>
      <c r="B30" s="12" t="str">
        <f>VLOOKUP(A30,concorrenti!A:B,2,1)</f>
        <v>OROBICO</v>
      </c>
      <c r="C30" s="12">
        <f>VLOOKUP(A30,concorrenti!A:E,5,1)</f>
        <v>0</v>
      </c>
      <c r="D30" s="80" t="s">
        <v>338</v>
      </c>
      <c r="E30" t="s">
        <v>322</v>
      </c>
      <c r="F30">
        <v>1971</v>
      </c>
      <c r="H30">
        <v>776</v>
      </c>
      <c r="I30" s="4">
        <f t="shared" si="0"/>
        <v>1.71</v>
      </c>
      <c r="J30" s="4">
        <f t="shared" si="1"/>
        <v>1326.96</v>
      </c>
      <c r="L30">
        <v>19</v>
      </c>
      <c r="M30">
        <f>VLOOKUP(L30,Regolamento!A:B,2,1)</f>
        <v>22</v>
      </c>
      <c r="N30" s="4">
        <f t="shared" si="2"/>
        <v>1.7</v>
      </c>
      <c r="O30" s="4">
        <f t="shared" si="3"/>
        <v>1.43</v>
      </c>
      <c r="P30" s="6">
        <f t="shared" si="4"/>
        <v>53.481999999999992</v>
      </c>
      <c r="R30" s="6">
        <f t="shared" si="5"/>
        <v>11.085714285714285</v>
      </c>
      <c r="V30" s="63"/>
    </row>
    <row r="31" spans="1:22" x14ac:dyDescent="0.25">
      <c r="A31" s="80" t="s">
        <v>314</v>
      </c>
      <c r="B31" s="12" t="str">
        <f>VLOOKUP(A31,concorrenti!A:B,2,1)</f>
        <v>OROBICO</v>
      </c>
      <c r="C31" s="12">
        <f>VLOOKUP(A31,concorrenti!A:E,5,1)</f>
        <v>0</v>
      </c>
      <c r="D31" s="80" t="s">
        <v>231</v>
      </c>
      <c r="E31" t="s">
        <v>331</v>
      </c>
      <c r="F31">
        <v>1958</v>
      </c>
      <c r="H31">
        <v>1042</v>
      </c>
      <c r="I31" s="4">
        <f t="shared" si="0"/>
        <v>1.58</v>
      </c>
      <c r="J31" s="4">
        <f t="shared" si="1"/>
        <v>1646.3600000000001</v>
      </c>
      <c r="L31">
        <v>20</v>
      </c>
      <c r="M31">
        <f>VLOOKUP(L31,Regolamento!A:B,2,1)</f>
        <v>21</v>
      </c>
      <c r="N31" s="4">
        <f t="shared" si="2"/>
        <v>1.7</v>
      </c>
      <c r="O31" s="4">
        <f t="shared" si="3"/>
        <v>1.43</v>
      </c>
      <c r="P31" s="6">
        <f t="shared" si="4"/>
        <v>51.050999999999995</v>
      </c>
      <c r="R31" s="6">
        <f t="shared" si="5"/>
        <v>14.885714285714286</v>
      </c>
      <c r="T31" t="s">
        <v>7</v>
      </c>
      <c r="V31" s="63"/>
    </row>
    <row r="32" spans="1:22" x14ac:dyDescent="0.25">
      <c r="A32" s="80" t="s">
        <v>304</v>
      </c>
      <c r="B32" s="12" t="str">
        <f>VLOOKUP(A32,concorrenti!A:B,2,1)</f>
        <v>OROBICO</v>
      </c>
      <c r="C32" s="12">
        <f>VLOOKUP(A32,concorrenti!A:E,5,1)</f>
        <v>0</v>
      </c>
      <c r="D32" s="80" t="s">
        <v>335</v>
      </c>
      <c r="E32" t="s">
        <v>319</v>
      </c>
      <c r="F32">
        <v>1954</v>
      </c>
      <c r="H32">
        <v>1177</v>
      </c>
      <c r="I32" s="4">
        <f t="shared" si="0"/>
        <v>1.54</v>
      </c>
      <c r="J32" s="4">
        <f t="shared" si="1"/>
        <v>1812.5800000000002</v>
      </c>
      <c r="L32">
        <v>21</v>
      </c>
      <c r="M32">
        <f>VLOOKUP(L32,Regolamento!A:B,2,1)</f>
        <v>20</v>
      </c>
      <c r="N32" s="4">
        <f t="shared" si="2"/>
        <v>1.7</v>
      </c>
      <c r="O32" s="4">
        <f t="shared" si="3"/>
        <v>1.43</v>
      </c>
      <c r="P32" s="6">
        <f t="shared" si="4"/>
        <v>48.62</v>
      </c>
      <c r="R32" s="6">
        <f t="shared" si="5"/>
        <v>16.814285714285713</v>
      </c>
      <c r="T32" t="s">
        <v>7</v>
      </c>
      <c r="V32" s="63"/>
    </row>
    <row r="33" spans="1:22" x14ac:dyDescent="0.25">
      <c r="A33" s="8" t="s">
        <v>70</v>
      </c>
      <c r="B33" s="12" t="str">
        <f>VLOOKUP(A33,concorrenti!A:B,2,1)</f>
        <v>CAVEM</v>
      </c>
      <c r="C33" s="12">
        <f>VLOOKUP(A33,concorrenti!A:E,5,1)</f>
        <v>0</v>
      </c>
      <c r="D33" s="80" t="s">
        <v>242</v>
      </c>
      <c r="E33" t="s">
        <v>341</v>
      </c>
      <c r="F33">
        <v>1974</v>
      </c>
      <c r="H33">
        <v>1268</v>
      </c>
      <c r="I33" s="4">
        <f t="shared" si="0"/>
        <v>1.74</v>
      </c>
      <c r="J33" s="4">
        <f t="shared" si="1"/>
        <v>2206.3200000000002</v>
      </c>
      <c r="L33">
        <v>22</v>
      </c>
      <c r="M33">
        <f>VLOOKUP(L33,Regolamento!A:B,2,1)</f>
        <v>19</v>
      </c>
      <c r="N33" s="4">
        <f t="shared" si="2"/>
        <v>1.7</v>
      </c>
      <c r="O33" s="4">
        <f t="shared" si="3"/>
        <v>1.43</v>
      </c>
      <c r="P33" s="6">
        <f t="shared" si="4"/>
        <v>46.188999999999993</v>
      </c>
      <c r="R33" s="6">
        <f t="shared" si="5"/>
        <v>18.114285714285714</v>
      </c>
      <c r="V33" s="63"/>
    </row>
    <row r="34" spans="1:22" x14ac:dyDescent="0.25">
      <c r="A34" s="80" t="s">
        <v>312</v>
      </c>
      <c r="B34" s="12" t="str">
        <f>VLOOKUP(A34,concorrenti!A:B,2,1)</f>
        <v>OROBICO</v>
      </c>
      <c r="C34" s="12">
        <f>VLOOKUP(A34,concorrenti!A:E,5,1)</f>
        <v>0</v>
      </c>
      <c r="D34" s="80" t="s">
        <v>233</v>
      </c>
      <c r="E34" t="s">
        <v>334</v>
      </c>
      <c r="F34">
        <v>1927</v>
      </c>
      <c r="H34">
        <v>1776</v>
      </c>
      <c r="I34" s="4">
        <f t="shared" si="0"/>
        <v>1.27</v>
      </c>
      <c r="J34" s="4">
        <f t="shared" si="1"/>
        <v>2255.52</v>
      </c>
      <c r="L34">
        <v>23</v>
      </c>
      <c r="M34">
        <f>VLOOKUP(L34,Regolamento!A:B,2,1)</f>
        <v>18</v>
      </c>
      <c r="N34" s="4">
        <f t="shared" si="2"/>
        <v>1.7</v>
      </c>
      <c r="O34" s="4">
        <f t="shared" si="3"/>
        <v>1.43</v>
      </c>
      <c r="P34" s="6">
        <f t="shared" si="4"/>
        <v>43.757999999999996</v>
      </c>
      <c r="R34" s="6">
        <f t="shared" si="5"/>
        <v>25.37142857142857</v>
      </c>
      <c r="V34" s="63"/>
    </row>
    <row r="35" spans="1:22" x14ac:dyDescent="0.25">
      <c r="A35" s="80" t="s">
        <v>227</v>
      </c>
      <c r="B35" s="12" t="str">
        <f>VLOOKUP(A35,concorrenti!A:B,2,1)</f>
        <v>VCC COMO</v>
      </c>
      <c r="C35" s="12">
        <f>VLOOKUP(A35,concorrenti!A:E,5,1)</f>
        <v>0</v>
      </c>
      <c r="D35" s="80" t="s">
        <v>151</v>
      </c>
      <c r="E35" t="s">
        <v>332</v>
      </c>
      <c r="F35">
        <v>1997</v>
      </c>
      <c r="H35">
        <v>1444</v>
      </c>
      <c r="I35" s="4">
        <f t="shared" si="0"/>
        <v>1.97</v>
      </c>
      <c r="J35" s="4">
        <f t="shared" si="1"/>
        <v>2844.68</v>
      </c>
      <c r="L35">
        <v>24</v>
      </c>
      <c r="M35">
        <f>VLOOKUP(L35,Regolamento!A:B,2,1)</f>
        <v>17</v>
      </c>
      <c r="N35" s="4">
        <f t="shared" si="2"/>
        <v>1.7</v>
      </c>
      <c r="O35" s="4">
        <f t="shared" si="3"/>
        <v>1.43</v>
      </c>
      <c r="P35" s="6">
        <f t="shared" si="4"/>
        <v>41.326999999999998</v>
      </c>
      <c r="R35" s="6">
        <f t="shared" si="5"/>
        <v>20.62857142857143</v>
      </c>
      <c r="V35" s="63"/>
    </row>
    <row r="36" spans="1:22" x14ac:dyDescent="0.25">
      <c r="A36" s="8" t="s">
        <v>87</v>
      </c>
      <c r="B36" s="12" t="str">
        <f>VLOOKUP(A36,concorrenti!A:B,2,1)</f>
        <v>CASTELLOTTI</v>
      </c>
      <c r="C36" s="12">
        <f>VLOOKUP(A36,concorrenti!A:E,5,1)</f>
        <v>0</v>
      </c>
      <c r="D36" s="80" t="s">
        <v>235</v>
      </c>
      <c r="E36" t="s">
        <v>291</v>
      </c>
      <c r="F36">
        <v>1965</v>
      </c>
      <c r="H36">
        <v>1795</v>
      </c>
      <c r="I36" s="4">
        <f t="shared" si="0"/>
        <v>1.65</v>
      </c>
      <c r="J36" s="4">
        <f t="shared" si="1"/>
        <v>2961.75</v>
      </c>
      <c r="L36">
        <v>25</v>
      </c>
      <c r="M36">
        <f>VLOOKUP(L36,Regolamento!A:B,2,1)</f>
        <v>16</v>
      </c>
      <c r="N36" s="4">
        <f t="shared" si="2"/>
        <v>1.7</v>
      </c>
      <c r="O36" s="4">
        <f t="shared" si="3"/>
        <v>1.43</v>
      </c>
      <c r="P36" s="6">
        <f t="shared" si="4"/>
        <v>38.896000000000001</v>
      </c>
      <c r="R36" s="6">
        <f t="shared" si="5"/>
        <v>25.642857142857142</v>
      </c>
      <c r="V36" s="63"/>
    </row>
    <row r="37" spans="1:22" x14ac:dyDescent="0.25">
      <c r="A37" s="80" t="s">
        <v>219</v>
      </c>
      <c r="B37" s="12" t="str">
        <f>VLOOKUP(A37,concorrenti!A:B,2,1)</f>
        <v>OROBICO</v>
      </c>
      <c r="C37" s="12">
        <f>VLOOKUP(A37,concorrenti!A:E,5,1)</f>
        <v>0</v>
      </c>
      <c r="D37" s="80" t="s">
        <v>230</v>
      </c>
      <c r="E37" t="s">
        <v>284</v>
      </c>
      <c r="F37">
        <v>1980</v>
      </c>
      <c r="H37">
        <v>1890</v>
      </c>
      <c r="I37" s="4">
        <f t="shared" si="0"/>
        <v>1.8</v>
      </c>
      <c r="J37" s="4">
        <f t="shared" si="1"/>
        <v>3402</v>
      </c>
      <c r="L37">
        <v>26</v>
      </c>
      <c r="M37">
        <f>VLOOKUP(L37,Regolamento!A:B,2,1)</f>
        <v>15</v>
      </c>
      <c r="N37" s="4">
        <f t="shared" si="2"/>
        <v>1.7</v>
      </c>
      <c r="O37" s="4">
        <f t="shared" si="3"/>
        <v>1.43</v>
      </c>
      <c r="P37" s="6">
        <f t="shared" si="4"/>
        <v>36.464999999999996</v>
      </c>
      <c r="R37" s="6">
        <f t="shared" si="5"/>
        <v>27</v>
      </c>
      <c r="V37" s="63"/>
    </row>
    <row r="38" spans="1:22" x14ac:dyDescent="0.25">
      <c r="A38" s="80" t="s">
        <v>191</v>
      </c>
      <c r="B38" s="12" t="str">
        <f>VLOOKUP(A38,concorrenti!A:B,2,1)</f>
        <v>CASTELLOTTI</v>
      </c>
      <c r="C38" s="12">
        <f>VLOOKUP(A38,concorrenti!A:E,5,1)</f>
        <v>0</v>
      </c>
      <c r="D38" s="80" t="s">
        <v>232</v>
      </c>
      <c r="E38" t="s">
        <v>324</v>
      </c>
      <c r="F38">
        <v>1969</v>
      </c>
      <c r="G38" s="8"/>
      <c r="H38">
        <v>2545</v>
      </c>
      <c r="I38" s="4">
        <f t="shared" si="0"/>
        <v>1.69</v>
      </c>
      <c r="J38" s="4">
        <f t="shared" si="1"/>
        <v>4301.05</v>
      </c>
      <c r="L38">
        <v>27</v>
      </c>
      <c r="M38">
        <f>VLOOKUP(L38,Regolamento!A:B,2,1)</f>
        <v>14</v>
      </c>
      <c r="N38" s="4">
        <f t="shared" si="2"/>
        <v>1.7</v>
      </c>
      <c r="O38" s="4">
        <f t="shared" si="3"/>
        <v>1.43</v>
      </c>
      <c r="P38" s="6">
        <f t="shared" si="4"/>
        <v>34.033999999999999</v>
      </c>
      <c r="R38" s="6">
        <f t="shared" si="5"/>
        <v>36.357142857142854</v>
      </c>
      <c r="V38" s="63"/>
    </row>
    <row r="39" spans="1:22" x14ac:dyDescent="0.25">
      <c r="A39" s="80" t="s">
        <v>215</v>
      </c>
      <c r="B39" s="12" t="str">
        <f>VLOOKUP(A39,concorrenti!A:B,2,1)</f>
        <v>CLASSIC CLUB ITALIA</v>
      </c>
      <c r="C39" s="12">
        <f>VLOOKUP(A39,concorrenti!A:E,5,1)</f>
        <v>0</v>
      </c>
      <c r="D39" s="80" t="s">
        <v>243</v>
      </c>
      <c r="E39" t="s">
        <v>280</v>
      </c>
      <c r="F39">
        <v>1988</v>
      </c>
      <c r="H39">
        <v>2553</v>
      </c>
      <c r="I39" s="4">
        <f t="shared" si="0"/>
        <v>1.88</v>
      </c>
      <c r="J39" s="4">
        <f t="shared" si="1"/>
        <v>4799.6399999999994</v>
      </c>
      <c r="L39">
        <v>28</v>
      </c>
      <c r="M39">
        <f>VLOOKUP(L39,Regolamento!A:B,2,1)</f>
        <v>13</v>
      </c>
      <c r="N39" s="4">
        <f t="shared" si="2"/>
        <v>1.7</v>
      </c>
      <c r="O39" s="4">
        <f t="shared" si="3"/>
        <v>1.43</v>
      </c>
      <c r="P39" s="6">
        <f t="shared" si="4"/>
        <v>31.602999999999994</v>
      </c>
      <c r="R39" s="6">
        <f t="shared" si="5"/>
        <v>36.471428571428568</v>
      </c>
      <c r="T39" t="s">
        <v>7</v>
      </c>
      <c r="V39" s="63"/>
    </row>
    <row r="40" spans="1:22" x14ac:dyDescent="0.25">
      <c r="A40" s="80" t="s">
        <v>313</v>
      </c>
      <c r="B40" s="12" t="str">
        <f>VLOOKUP(A40,concorrenti!A:B,2,1)</f>
        <v>OROBICO</v>
      </c>
      <c r="C40" s="12">
        <f>VLOOKUP(A40,concorrenti!A:E,5,1)</f>
        <v>0</v>
      </c>
      <c r="D40" s="80" t="s">
        <v>234</v>
      </c>
      <c r="E40" t="s">
        <v>329</v>
      </c>
      <c r="F40">
        <v>1988</v>
      </c>
      <c r="H40">
        <v>2564</v>
      </c>
      <c r="I40" s="4">
        <f t="shared" si="0"/>
        <v>1.88</v>
      </c>
      <c r="J40" s="4">
        <f t="shared" si="1"/>
        <v>4820.32</v>
      </c>
      <c r="L40">
        <v>29</v>
      </c>
      <c r="M40">
        <f>VLOOKUP(L40,Regolamento!A:B,2,1)</f>
        <v>12</v>
      </c>
      <c r="N40" s="4">
        <f t="shared" si="2"/>
        <v>1.7</v>
      </c>
      <c r="O40" s="4">
        <f t="shared" si="3"/>
        <v>1.43</v>
      </c>
      <c r="P40" s="6">
        <f t="shared" si="4"/>
        <v>29.171999999999997</v>
      </c>
      <c r="R40" s="6">
        <f t="shared" si="5"/>
        <v>36.628571428571426</v>
      </c>
      <c r="T40" t="s">
        <v>7</v>
      </c>
      <c r="V40" s="63"/>
    </row>
    <row r="41" spans="1:22" x14ac:dyDescent="0.25">
      <c r="A41" s="80" t="s">
        <v>310</v>
      </c>
      <c r="B41" s="12" t="str">
        <f>VLOOKUP(A41,concorrenti!A:B,2,1)</f>
        <v>VALTELLINA</v>
      </c>
      <c r="C41" s="12">
        <f>VLOOKUP(A41,concorrenti!A:E,5,1)</f>
        <v>0</v>
      </c>
      <c r="D41" s="80" t="s">
        <v>242</v>
      </c>
      <c r="E41" t="s">
        <v>326</v>
      </c>
      <c r="F41">
        <v>1974</v>
      </c>
      <c r="H41">
        <v>3764</v>
      </c>
      <c r="I41" s="4">
        <f t="shared" si="0"/>
        <v>1.74</v>
      </c>
      <c r="J41" s="4">
        <f t="shared" si="1"/>
        <v>6549.36</v>
      </c>
      <c r="L41">
        <v>30</v>
      </c>
      <c r="M41">
        <f>VLOOKUP(L41,Regolamento!A:B,2,1)</f>
        <v>11</v>
      </c>
      <c r="N41" s="4">
        <f t="shared" si="2"/>
        <v>1.7</v>
      </c>
      <c r="O41" s="4">
        <f t="shared" si="3"/>
        <v>1.43</v>
      </c>
      <c r="P41" s="6">
        <f t="shared" si="4"/>
        <v>26.740999999999996</v>
      </c>
      <c r="R41" s="6">
        <f t="shared" si="5"/>
        <v>53.771428571428572</v>
      </c>
      <c r="T41" t="s">
        <v>7</v>
      </c>
      <c r="V41" s="63"/>
    </row>
    <row r="42" spans="1:22" x14ac:dyDescent="0.25">
      <c r="A42" s="80" t="s">
        <v>306</v>
      </c>
      <c r="B42" s="12" t="str">
        <f>VLOOKUP(A42,concorrenti!A:B,2,1)</f>
        <v>OROBICO</v>
      </c>
      <c r="C42" s="12">
        <f>VLOOKUP(A42,concorrenti!A:E,5,1)</f>
        <v>0</v>
      </c>
      <c r="D42" s="80" t="s">
        <v>235</v>
      </c>
      <c r="E42" t="s">
        <v>316</v>
      </c>
      <c r="F42">
        <v>1970</v>
      </c>
      <c r="H42">
        <v>4774</v>
      </c>
      <c r="I42" s="4">
        <f t="shared" si="0"/>
        <v>1.7</v>
      </c>
      <c r="J42" s="4">
        <f t="shared" si="1"/>
        <v>8115.8</v>
      </c>
      <c r="L42">
        <v>31</v>
      </c>
      <c r="M42">
        <f>VLOOKUP(L42,Regolamento!A:B,2,1)</f>
        <v>10</v>
      </c>
      <c r="N42" s="4">
        <f t="shared" si="2"/>
        <v>1.7</v>
      </c>
      <c r="O42" s="4">
        <f t="shared" si="3"/>
        <v>1.43</v>
      </c>
      <c r="P42" s="6">
        <f t="shared" si="4"/>
        <v>24.31</v>
      </c>
      <c r="R42" s="6">
        <f t="shared" si="5"/>
        <v>68.2</v>
      </c>
      <c r="T42" t="s">
        <v>7</v>
      </c>
      <c r="V42" s="63"/>
    </row>
    <row r="43" spans="1:22" x14ac:dyDescent="0.25">
      <c r="A43" s="80" t="s">
        <v>307</v>
      </c>
      <c r="B43" s="12" t="str">
        <f>VLOOKUP(A43,concorrenti!A:B,2,1)</f>
        <v>OROBICO</v>
      </c>
      <c r="C43" s="12">
        <f>VLOOKUP(A43,concorrenti!A:E,5,1)</f>
        <v>0</v>
      </c>
      <c r="D43" s="80" t="s">
        <v>232</v>
      </c>
      <c r="E43" t="s">
        <v>318</v>
      </c>
      <c r="F43">
        <v>1973</v>
      </c>
      <c r="H43">
        <v>5585</v>
      </c>
      <c r="I43" s="4">
        <f t="shared" si="0"/>
        <v>1.73</v>
      </c>
      <c r="J43" s="4">
        <f t="shared" si="1"/>
        <v>9662.0499999999993</v>
      </c>
      <c r="L43">
        <v>32</v>
      </c>
      <c r="M43">
        <f>VLOOKUP(L43,Regolamento!A:B,2,1)</f>
        <v>9</v>
      </c>
      <c r="N43" s="4">
        <f t="shared" si="2"/>
        <v>1.7</v>
      </c>
      <c r="O43" s="4">
        <f t="shared" si="3"/>
        <v>1.43</v>
      </c>
      <c r="P43" s="6">
        <f t="shared" si="4"/>
        <v>21.878999999999998</v>
      </c>
      <c r="R43" s="6">
        <f t="shared" si="5"/>
        <v>79.785714285714292</v>
      </c>
      <c r="T43" t="s">
        <v>7</v>
      </c>
      <c r="V43" s="63"/>
    </row>
    <row r="44" spans="1:22" x14ac:dyDescent="0.25">
      <c r="A44" s="80" t="s">
        <v>308</v>
      </c>
      <c r="B44" s="12" t="str">
        <f>VLOOKUP(A44,concorrenti!A:B,2,1)</f>
        <v>OROBICO</v>
      </c>
      <c r="C44" s="12">
        <f>VLOOKUP(A44,concorrenti!A:E,5,1)</f>
        <v>0</v>
      </c>
      <c r="D44" s="80" t="s">
        <v>121</v>
      </c>
      <c r="E44" t="s">
        <v>323</v>
      </c>
      <c r="F44">
        <v>1995</v>
      </c>
      <c r="H44">
        <v>5457</v>
      </c>
      <c r="I44" s="4">
        <f t="shared" si="0"/>
        <v>1.95</v>
      </c>
      <c r="J44" s="4">
        <f t="shared" si="1"/>
        <v>10641.15</v>
      </c>
      <c r="L44">
        <v>33</v>
      </c>
      <c r="M44">
        <f>VLOOKUP(L44,Regolamento!A:B,2,1)</f>
        <v>8</v>
      </c>
      <c r="N44" s="4">
        <f t="shared" si="2"/>
        <v>1.7</v>
      </c>
      <c r="O44" s="4">
        <f t="shared" si="3"/>
        <v>1.43</v>
      </c>
      <c r="P44" s="6">
        <f t="shared" si="4"/>
        <v>19.448</v>
      </c>
      <c r="R44" s="6">
        <f t="shared" si="5"/>
        <v>77.957142857142856</v>
      </c>
      <c r="T44" t="s">
        <v>7</v>
      </c>
      <c r="V44" s="63"/>
    </row>
    <row r="45" spans="1:22" x14ac:dyDescent="0.25">
      <c r="A45" s="80" t="s">
        <v>74</v>
      </c>
      <c r="B45" s="12" t="str">
        <f>VLOOKUP(A45,concorrenti!A:B,2,1)</f>
        <v>CASTELLOTTI</v>
      </c>
      <c r="C45" s="12">
        <f>VLOOKUP(A45,concorrenti!A:E,5,1)</f>
        <v>0</v>
      </c>
      <c r="D45" s="80" t="s">
        <v>340</v>
      </c>
      <c r="E45" t="s">
        <v>330</v>
      </c>
      <c r="F45">
        <v>1969</v>
      </c>
      <c r="H45">
        <v>11410</v>
      </c>
      <c r="I45" s="4">
        <f t="shared" si="0"/>
        <v>1.69</v>
      </c>
      <c r="J45" s="4">
        <f t="shared" si="1"/>
        <v>19282.899999999998</v>
      </c>
      <c r="L45">
        <v>34</v>
      </c>
      <c r="M45">
        <f>VLOOKUP(L45,Regolamento!A:B,2,1)</f>
        <v>7</v>
      </c>
      <c r="N45" s="4">
        <f t="shared" ref="N45" si="6">1+E$5/100</f>
        <v>1.7</v>
      </c>
      <c r="O45" s="4">
        <f t="shared" ref="O45" si="7">1+E$6/100</f>
        <v>1.43</v>
      </c>
      <c r="P45" s="6">
        <f t="shared" ref="P45" si="8">IF(H45&lt;&gt;0,+M45*N45*O45,0)</f>
        <v>17.016999999999999</v>
      </c>
      <c r="R45" s="6">
        <f t="shared" ref="R45" si="9">+H45/E$5</f>
        <v>163</v>
      </c>
    </row>
    <row r="46" spans="1:22" x14ac:dyDescent="0.25">
      <c r="P46" s="10">
        <f>SUM(P12:P45)</f>
        <v>1990.9889999999998</v>
      </c>
      <c r="R46" s="6"/>
    </row>
    <row r="47" spans="1:22" x14ac:dyDescent="0.25">
      <c r="P47" s="10">
        <f>+P46-Generale!I3</f>
        <v>0</v>
      </c>
      <c r="R47" s="6"/>
    </row>
    <row r="48" spans="1:22" x14ac:dyDescent="0.25">
      <c r="R48" s="6"/>
    </row>
    <row r="49" spans="16:18" x14ac:dyDescent="0.25">
      <c r="P49" s="10"/>
      <c r="R49" s="6"/>
    </row>
    <row r="50" spans="16:18" x14ac:dyDescent="0.25">
      <c r="R50" s="6"/>
    </row>
    <row r="51" spans="16:18" x14ac:dyDescent="0.25">
      <c r="R51" s="6"/>
    </row>
    <row r="52" spans="16:18" x14ac:dyDescent="0.25">
      <c r="R52" s="6"/>
    </row>
    <row r="53" spans="16:18" x14ac:dyDescent="0.25">
      <c r="R53" s="6"/>
    </row>
    <row r="54" spans="16:18" x14ac:dyDescent="0.25">
      <c r="R54" s="6"/>
    </row>
    <row r="55" spans="16:18" x14ac:dyDescent="0.25">
      <c r="R55" s="6"/>
    </row>
    <row r="56" spans="16:18" x14ac:dyDescent="0.25">
      <c r="R56" s="6"/>
    </row>
    <row r="57" spans="16:18" x14ac:dyDescent="0.25">
      <c r="R57" s="6"/>
    </row>
    <row r="58" spans="16:18" x14ac:dyDescent="0.25">
      <c r="R58" s="6"/>
    </row>
    <row r="59" spans="16:18" x14ac:dyDescent="0.25">
      <c r="R59" s="6"/>
    </row>
    <row r="60" spans="16:18" x14ac:dyDescent="0.25">
      <c r="R60" s="6"/>
    </row>
    <row r="61" spans="16:18" x14ac:dyDescent="0.25">
      <c r="R61" s="6"/>
    </row>
    <row r="62" spans="16:18" x14ac:dyDescent="0.25">
      <c r="R62" s="6"/>
    </row>
    <row r="63" spans="16:18" x14ac:dyDescent="0.25">
      <c r="R63" s="6"/>
    </row>
    <row r="64" spans="16:18" x14ac:dyDescent="0.25">
      <c r="R64" s="6"/>
    </row>
    <row r="65" spans="18:18" x14ac:dyDescent="0.25">
      <c r="R65" s="6"/>
    </row>
  </sheetData>
  <sheetProtection algorithmName="SHA-512" hashValue="MWEXu6zteGj84N97nTmPlKZPX8zeRNcbfCl3AiZvfEMQ5HleCfE8bWYVaVr8RTOPRjsuaL7MuaIicXIc91Q37A==" saltValue="JP1zV7JhBjUbSuFQp3fceQ==" spinCount="100000" sheet="1" objects="1" scenarios="1"/>
  <sortState xmlns:xlrd2="http://schemas.microsoft.com/office/spreadsheetml/2017/richdata2" ref="A12:J45">
    <sortCondition ref="J12:J45"/>
  </sortState>
  <mergeCells count="3">
    <mergeCell ref="H1:P1"/>
    <mergeCell ref="H8:J8"/>
    <mergeCell ref="N8:O8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B5402-11B4-412C-80D7-8F05CCA8ADA1}">
  <sheetPr>
    <tabColor rgb="FF92D050"/>
  </sheetPr>
  <dimension ref="A1:T68"/>
  <sheetViews>
    <sheetView topLeftCell="A7" workbookViewId="0">
      <selection activeCell="Y12" sqref="Y12"/>
    </sheetView>
  </sheetViews>
  <sheetFormatPr defaultRowHeight="15" x14ac:dyDescent="0.25"/>
  <cols>
    <col min="1" max="1" width="23.140625" bestFit="1" customWidth="1"/>
    <col min="2" max="2" width="11.85546875" bestFit="1" customWidth="1"/>
    <col min="3" max="3" width="9.140625" style="1" bestFit="1" customWidth="1"/>
    <col min="4" max="4" width="18.85546875" customWidth="1"/>
    <col min="5" max="5" width="17.7109375" bestFit="1" customWidth="1"/>
    <col min="6" max="6" width="5.42578125" bestFit="1" customWidth="1"/>
    <col min="7" max="7" width="2.42578125" customWidth="1"/>
    <col min="8" max="8" width="9.7109375" bestFit="1" customWidth="1"/>
    <col min="9" max="9" width="9.7109375" style="4" bestFit="1" customWidth="1"/>
    <col min="10" max="10" width="10.5703125" style="4" bestFit="1" customWidth="1"/>
    <col min="11" max="11" width="3" customWidth="1"/>
    <col min="12" max="13" width="5.7109375" bestFit="1" customWidth="1"/>
    <col min="14" max="14" width="6.140625" bestFit="1" customWidth="1"/>
    <col min="15" max="15" width="8.140625" bestFit="1" customWidth="1"/>
    <col min="16" max="16" width="9.5703125" bestFit="1" customWidth="1"/>
    <col min="17" max="17" width="4.140625" customWidth="1"/>
    <col min="19" max="19" width="4.140625" customWidth="1"/>
    <col min="20" max="20" width="18.140625" bestFit="1" customWidth="1"/>
  </cols>
  <sheetData>
    <row r="1" spans="1:18" ht="15.75" x14ac:dyDescent="0.25">
      <c r="A1" t="s">
        <v>47</v>
      </c>
      <c r="H1" s="141" t="s">
        <v>375</v>
      </c>
      <c r="I1" s="141"/>
      <c r="J1" s="141"/>
      <c r="K1" s="141"/>
      <c r="L1" s="141"/>
      <c r="M1" s="141"/>
      <c r="N1" s="141"/>
      <c r="O1" s="141"/>
      <c r="P1" s="141"/>
    </row>
    <row r="2" spans="1:18" x14ac:dyDescent="0.25">
      <c r="A2" t="s">
        <v>48</v>
      </c>
      <c r="E2" s="35">
        <v>45067</v>
      </c>
    </row>
    <row r="3" spans="1:18" ht="14.25" customHeight="1" x14ac:dyDescent="0.25">
      <c r="A3" t="s">
        <v>65</v>
      </c>
      <c r="E3" s="35" t="s">
        <v>376</v>
      </c>
    </row>
    <row r="4" spans="1:18" ht="14.25" customHeight="1" x14ac:dyDescent="0.25">
      <c r="A4" t="s">
        <v>52</v>
      </c>
      <c r="E4" s="1" t="s">
        <v>7</v>
      </c>
    </row>
    <row r="5" spans="1:18" ht="14.25" customHeight="1" x14ac:dyDescent="0.25">
      <c r="A5" t="s">
        <v>50</v>
      </c>
      <c r="E5" s="1">
        <v>42</v>
      </c>
    </row>
    <row r="6" spans="1:18" ht="14.25" customHeight="1" x14ac:dyDescent="0.25">
      <c r="A6" t="s">
        <v>51</v>
      </c>
      <c r="E6" s="1">
        <v>54</v>
      </c>
    </row>
    <row r="7" spans="1:18" ht="14.25" customHeight="1" x14ac:dyDescent="0.25">
      <c r="D7" s="1"/>
    </row>
    <row r="8" spans="1:18" x14ac:dyDescent="0.25">
      <c r="A8" s="36" t="s">
        <v>44</v>
      </c>
      <c r="B8" s="96" t="s">
        <v>483</v>
      </c>
      <c r="C8" s="74" t="s">
        <v>46</v>
      </c>
      <c r="D8" s="18" t="s">
        <v>55</v>
      </c>
      <c r="E8" s="18" t="s">
        <v>56</v>
      </c>
      <c r="F8" s="19" t="s">
        <v>57</v>
      </c>
      <c r="H8" s="142" t="s">
        <v>53</v>
      </c>
      <c r="I8" s="140"/>
      <c r="J8" s="143"/>
      <c r="K8" s="2"/>
      <c r="L8" s="27" t="s">
        <v>54</v>
      </c>
      <c r="M8" s="30"/>
      <c r="N8" s="140" t="s">
        <v>8</v>
      </c>
      <c r="O8" s="140"/>
      <c r="P8" s="31"/>
    </row>
    <row r="9" spans="1:18" ht="14.25" customHeight="1" x14ac:dyDescent="0.25">
      <c r="H9" s="20" t="s">
        <v>36</v>
      </c>
      <c r="I9" s="21" t="s">
        <v>38</v>
      </c>
      <c r="J9" s="22" t="s">
        <v>0</v>
      </c>
      <c r="K9" s="7"/>
      <c r="L9" s="28"/>
      <c r="M9" s="32" t="s">
        <v>0</v>
      </c>
      <c r="N9" s="21" t="s">
        <v>9</v>
      </c>
      <c r="O9" s="21" t="s">
        <v>5</v>
      </c>
      <c r="P9" s="33" t="s">
        <v>11</v>
      </c>
    </row>
    <row r="10" spans="1:18" ht="14.25" customHeight="1" x14ac:dyDescent="0.25">
      <c r="H10" s="23" t="s">
        <v>37</v>
      </c>
      <c r="I10" s="24"/>
      <c r="J10" s="25" t="s">
        <v>39</v>
      </c>
      <c r="K10" s="6"/>
      <c r="L10" s="29"/>
      <c r="M10" s="34"/>
      <c r="N10" s="24"/>
      <c r="O10" s="24"/>
      <c r="P10" s="25"/>
    </row>
    <row r="11" spans="1:18" ht="14.25" customHeight="1" x14ac:dyDescent="0.25">
      <c r="R11" s="3" t="s">
        <v>169</v>
      </c>
    </row>
    <row r="12" spans="1:18" x14ac:dyDescent="0.25">
      <c r="A12" s="8" t="s">
        <v>15</v>
      </c>
      <c r="B12" s="12" t="str">
        <f>VLOOKUP(A12,concorrenti!A:B,2,1)</f>
        <v>OROBICO</v>
      </c>
      <c r="C12" s="12">
        <f>VLOOKUP(A12,concorrenti!A:E,5,1)</f>
        <v>0</v>
      </c>
      <c r="D12" t="s">
        <v>335</v>
      </c>
      <c r="E12" t="s">
        <v>319</v>
      </c>
      <c r="F12">
        <v>1954</v>
      </c>
      <c r="H12" s="89">
        <f t="shared" ref="H12:H43" si="0">+J12/I12</f>
        <v>312.98701298701297</v>
      </c>
      <c r="I12" s="4">
        <f t="shared" ref="I12:I43" si="1">IF(C12&lt;&gt;0,((1+RIGHT(F12,2)/100)-0.1),(1+RIGHT(F12,2)/100))</f>
        <v>1.54</v>
      </c>
      <c r="J12">
        <v>482</v>
      </c>
      <c r="L12">
        <v>1</v>
      </c>
      <c r="M12">
        <f>VLOOKUP(L12,Regolamento!A:B,2,1)</f>
        <v>50</v>
      </c>
      <c r="N12" s="4">
        <f t="shared" ref="N12:N43" si="2">1+E$5/100</f>
        <v>1.42</v>
      </c>
      <c r="O12" s="4">
        <f t="shared" ref="O12:O43" si="3">1+E$6/100</f>
        <v>1.54</v>
      </c>
      <c r="P12" s="6">
        <f t="shared" ref="P12:P29" si="4">IF(H12&lt;&gt;0,+M12*N12*O12,0)</f>
        <v>109.34</v>
      </c>
      <c r="R12" s="6">
        <f t="shared" ref="R12:R43" si="5">+H12/E$5</f>
        <v>7.4520717377860235</v>
      </c>
    </row>
    <row r="13" spans="1:18" x14ac:dyDescent="0.25">
      <c r="A13" s="8" t="s">
        <v>73</v>
      </c>
      <c r="B13" s="12" t="str">
        <f>VLOOKUP(A13,concorrenti!A:B,2,1)</f>
        <v>VAMS</v>
      </c>
      <c r="C13" s="12">
        <f>VLOOKUP(A13,concorrenti!A:E,5,1)</f>
        <v>0</v>
      </c>
      <c r="D13" s="80" t="s">
        <v>232</v>
      </c>
      <c r="E13" t="s">
        <v>418</v>
      </c>
      <c r="F13">
        <v>1971</v>
      </c>
      <c r="H13" s="89">
        <f t="shared" si="0"/>
        <v>326.90058479532166</v>
      </c>
      <c r="I13" s="4">
        <f t="shared" si="1"/>
        <v>1.71</v>
      </c>
      <c r="J13">
        <v>559</v>
      </c>
      <c r="L13">
        <v>2</v>
      </c>
      <c r="M13">
        <f>VLOOKUP(L13,Regolamento!A:B,2,1)</f>
        <v>45</v>
      </c>
      <c r="N13" s="4">
        <f t="shared" si="2"/>
        <v>1.42</v>
      </c>
      <c r="O13" s="4">
        <f t="shared" si="3"/>
        <v>1.54</v>
      </c>
      <c r="P13" s="6">
        <f t="shared" si="4"/>
        <v>98.406000000000006</v>
      </c>
      <c r="R13" s="6">
        <f t="shared" si="5"/>
        <v>7.7833472570314681</v>
      </c>
    </row>
    <row r="14" spans="1:18" x14ac:dyDescent="0.25">
      <c r="A14" t="s">
        <v>398</v>
      </c>
      <c r="B14" s="12" t="str">
        <f>VLOOKUP(A14,concorrenti!A:B,2,1)</f>
        <v>GAMS</v>
      </c>
      <c r="C14" s="12">
        <f>VLOOKUP(A14,concorrenti!A:E,5,1)</f>
        <v>0</v>
      </c>
      <c r="D14" t="s">
        <v>121</v>
      </c>
      <c r="E14" t="s">
        <v>435</v>
      </c>
      <c r="F14">
        <v>1995</v>
      </c>
      <c r="H14" s="89">
        <f t="shared" si="0"/>
        <v>294.87179487179486</v>
      </c>
      <c r="I14" s="4">
        <f t="shared" si="1"/>
        <v>1.95</v>
      </c>
      <c r="J14">
        <v>575</v>
      </c>
      <c r="L14">
        <v>3</v>
      </c>
      <c r="M14">
        <f>VLOOKUP(L14,Regolamento!A:B,2,1)</f>
        <v>41</v>
      </c>
      <c r="N14" s="4">
        <f t="shared" si="2"/>
        <v>1.42</v>
      </c>
      <c r="O14" s="4">
        <f t="shared" si="3"/>
        <v>1.54</v>
      </c>
      <c r="P14" s="6">
        <f t="shared" si="4"/>
        <v>89.658799999999999</v>
      </c>
      <c r="R14" s="6">
        <f t="shared" si="5"/>
        <v>7.0207570207570207</v>
      </c>
    </row>
    <row r="15" spans="1:18" x14ac:dyDescent="0.25">
      <c r="A15" s="8" t="s">
        <v>27</v>
      </c>
      <c r="B15" s="12" t="str">
        <f>VLOOKUP(A15,concorrenti!A:B,2,1)</f>
        <v>VAMS</v>
      </c>
      <c r="C15" s="12">
        <f>VLOOKUP(A15,concorrenti!A:E,5,1)</f>
        <v>0</v>
      </c>
      <c r="D15" t="s">
        <v>340</v>
      </c>
      <c r="E15" t="s">
        <v>125</v>
      </c>
      <c r="F15">
        <v>1980</v>
      </c>
      <c r="H15" s="89">
        <f t="shared" si="0"/>
        <v>325.55555555555554</v>
      </c>
      <c r="I15" s="4">
        <f t="shared" si="1"/>
        <v>1.8</v>
      </c>
      <c r="J15">
        <v>586</v>
      </c>
      <c r="L15">
        <v>4</v>
      </c>
      <c r="M15">
        <f>VLOOKUP(L15,Regolamento!A:B,2,1)</f>
        <v>38</v>
      </c>
      <c r="N15" s="4">
        <f t="shared" si="2"/>
        <v>1.42</v>
      </c>
      <c r="O15" s="4">
        <f t="shared" si="3"/>
        <v>1.54</v>
      </c>
      <c r="P15" s="6">
        <f t="shared" si="4"/>
        <v>83.098399999999998</v>
      </c>
      <c r="R15" s="6">
        <f t="shared" si="5"/>
        <v>7.7513227513227507</v>
      </c>
    </row>
    <row r="16" spans="1:18" ht="14.25" x14ac:dyDescent="0.25">
      <c r="A16" s="8" t="s">
        <v>217</v>
      </c>
      <c r="B16" s="12" t="str">
        <f>VLOOKUP(A16,concorrenti!A:B,2,1)</f>
        <v>OROBICO</v>
      </c>
      <c r="C16" s="12" t="str">
        <f>VLOOKUP(A16,concorrenti!A:E,5,1)</f>
        <v>X</v>
      </c>
      <c r="D16" s="80" t="s">
        <v>232</v>
      </c>
      <c r="E16" t="s">
        <v>415</v>
      </c>
      <c r="F16">
        <v>1972</v>
      </c>
      <c r="G16" s="9"/>
      <c r="H16" s="89">
        <f t="shared" si="0"/>
        <v>382.71604938271605</v>
      </c>
      <c r="I16" s="4">
        <f t="shared" si="1"/>
        <v>1.6199999999999999</v>
      </c>
      <c r="J16">
        <v>620</v>
      </c>
      <c r="L16">
        <v>5</v>
      </c>
      <c r="M16">
        <f>VLOOKUP(L16,Regolamento!A:B,2,1)</f>
        <v>36</v>
      </c>
      <c r="N16" s="4">
        <f t="shared" si="2"/>
        <v>1.42</v>
      </c>
      <c r="O16" s="4">
        <f t="shared" si="3"/>
        <v>1.54</v>
      </c>
      <c r="P16" s="6">
        <f t="shared" si="4"/>
        <v>78.724800000000002</v>
      </c>
      <c r="R16" s="6">
        <f t="shared" si="5"/>
        <v>9.1122868900646683</v>
      </c>
    </row>
    <row r="17" spans="1:20" x14ac:dyDescent="0.25">
      <c r="A17" s="8" t="s">
        <v>17</v>
      </c>
      <c r="B17" s="12" t="str">
        <f>VLOOKUP(A17,concorrenti!A:B,2,1)</f>
        <v>VAMS</v>
      </c>
      <c r="C17" s="12">
        <f>VLOOKUP(A17,concorrenti!A:E,5,1)</f>
        <v>0</v>
      </c>
      <c r="D17" t="s">
        <v>335</v>
      </c>
      <c r="E17" t="s">
        <v>133</v>
      </c>
      <c r="F17">
        <v>1962</v>
      </c>
      <c r="H17" s="89">
        <f t="shared" si="0"/>
        <v>491.97530864197529</v>
      </c>
      <c r="I17" s="4">
        <f t="shared" si="1"/>
        <v>1.62</v>
      </c>
      <c r="J17">
        <v>797</v>
      </c>
      <c r="L17">
        <v>6</v>
      </c>
      <c r="M17">
        <f>VLOOKUP(L17,Regolamento!A:B,2,1)</f>
        <v>35</v>
      </c>
      <c r="N17" s="4">
        <f t="shared" si="2"/>
        <v>1.42</v>
      </c>
      <c r="O17" s="4">
        <f t="shared" si="3"/>
        <v>1.54</v>
      </c>
      <c r="P17" s="6">
        <f t="shared" si="4"/>
        <v>76.537999999999997</v>
      </c>
      <c r="R17" s="6">
        <f t="shared" si="5"/>
        <v>11.713697824808936</v>
      </c>
    </row>
    <row r="18" spans="1:20" x14ac:dyDescent="0.25">
      <c r="A18" s="8" t="s">
        <v>315</v>
      </c>
      <c r="B18" s="12" t="str">
        <f>VLOOKUP(A18,concorrenti!A:B,2,1)</f>
        <v>VALTELLINA</v>
      </c>
      <c r="C18" s="12">
        <f>VLOOKUP(A18,concorrenti!A:E,5,1)</f>
        <v>0</v>
      </c>
      <c r="D18" s="80" t="s">
        <v>232</v>
      </c>
      <c r="E18" t="s">
        <v>419</v>
      </c>
      <c r="F18">
        <v>1987</v>
      </c>
      <c r="H18" s="89">
        <f t="shared" si="0"/>
        <v>462.56684491978609</v>
      </c>
      <c r="I18" s="4">
        <f t="shared" si="1"/>
        <v>1.87</v>
      </c>
      <c r="J18">
        <v>865</v>
      </c>
      <c r="L18">
        <v>7</v>
      </c>
      <c r="M18">
        <f>VLOOKUP(L18,Regolamento!A:B,2,1)</f>
        <v>34</v>
      </c>
      <c r="N18" s="4">
        <f t="shared" si="2"/>
        <v>1.42</v>
      </c>
      <c r="O18" s="4">
        <f t="shared" si="3"/>
        <v>1.54</v>
      </c>
      <c r="P18" s="6">
        <f t="shared" si="4"/>
        <v>74.351200000000006</v>
      </c>
      <c r="R18" s="6">
        <f t="shared" si="5"/>
        <v>11.013496307613954</v>
      </c>
      <c r="T18" t="s">
        <v>7</v>
      </c>
    </row>
    <row r="19" spans="1:20" ht="14.25" x14ac:dyDescent="0.25">
      <c r="A19" s="8" t="s">
        <v>28</v>
      </c>
      <c r="B19" s="12" t="str">
        <f>VLOOKUP(A19,concorrenti!A:B,2,1)</f>
        <v>VAMS</v>
      </c>
      <c r="C19" s="12">
        <f>VLOOKUP(A19,concorrenti!A:E,5,1)</f>
        <v>0</v>
      </c>
      <c r="D19" s="80" t="s">
        <v>232</v>
      </c>
      <c r="E19" t="s">
        <v>432</v>
      </c>
      <c r="F19">
        <v>1975</v>
      </c>
      <c r="H19" s="89">
        <f t="shared" si="0"/>
        <v>569.71428571428567</v>
      </c>
      <c r="I19" s="4">
        <f t="shared" si="1"/>
        <v>1.75</v>
      </c>
      <c r="J19">
        <v>997</v>
      </c>
      <c r="L19">
        <v>8</v>
      </c>
      <c r="M19">
        <f>VLOOKUP(L19,Regolamento!A:B,2,1)</f>
        <v>33</v>
      </c>
      <c r="N19" s="4">
        <f t="shared" si="2"/>
        <v>1.42</v>
      </c>
      <c r="O19" s="4">
        <f t="shared" si="3"/>
        <v>1.54</v>
      </c>
      <c r="P19" s="6">
        <f t="shared" si="4"/>
        <v>72.164400000000001</v>
      </c>
      <c r="R19" s="6">
        <f t="shared" si="5"/>
        <v>13.564625850340136</v>
      </c>
      <c r="T19" t="s">
        <v>7</v>
      </c>
    </row>
    <row r="20" spans="1:20" x14ac:dyDescent="0.25">
      <c r="A20" s="8" t="s">
        <v>16</v>
      </c>
      <c r="B20" s="12" t="str">
        <f>VLOOKUP(A20,concorrenti!A:B,2,1)</f>
        <v>OROBICO</v>
      </c>
      <c r="C20" s="12">
        <f>VLOOKUP(A20,concorrenti!A:E,5,1)</f>
        <v>0</v>
      </c>
      <c r="D20" s="80" t="s">
        <v>232</v>
      </c>
      <c r="E20" t="s">
        <v>427</v>
      </c>
      <c r="F20">
        <v>1961</v>
      </c>
      <c r="H20" s="89">
        <f t="shared" si="0"/>
        <v>665.83850931677023</v>
      </c>
      <c r="I20" s="4">
        <f t="shared" si="1"/>
        <v>1.6099999999999999</v>
      </c>
      <c r="J20">
        <v>1072</v>
      </c>
      <c r="L20">
        <v>9</v>
      </c>
      <c r="M20">
        <f>VLOOKUP(L20,Regolamento!A:B,2,1)</f>
        <v>32</v>
      </c>
      <c r="N20" s="4">
        <f t="shared" si="2"/>
        <v>1.42</v>
      </c>
      <c r="O20" s="4">
        <f t="shared" si="3"/>
        <v>1.54</v>
      </c>
      <c r="P20" s="6">
        <f t="shared" si="4"/>
        <v>69.977599999999995</v>
      </c>
      <c r="R20" s="6">
        <f t="shared" si="5"/>
        <v>15.853297840875481</v>
      </c>
      <c r="T20" t="s">
        <v>7</v>
      </c>
    </row>
    <row r="21" spans="1:20" x14ac:dyDescent="0.25">
      <c r="A21" s="8" t="s">
        <v>75</v>
      </c>
      <c r="B21" s="12" t="str">
        <f>VLOOKUP(A21,concorrenti!A:B,2,1)</f>
        <v>VAMS</v>
      </c>
      <c r="C21" s="12">
        <f>VLOOKUP(A21,concorrenti!A:E,5,1)</f>
        <v>0</v>
      </c>
      <c r="D21" t="s">
        <v>340</v>
      </c>
      <c r="E21" t="s">
        <v>125</v>
      </c>
      <c r="F21">
        <v>1972</v>
      </c>
      <c r="H21" s="89">
        <f t="shared" si="0"/>
        <v>657.55813953488371</v>
      </c>
      <c r="I21" s="4">
        <f t="shared" si="1"/>
        <v>1.72</v>
      </c>
      <c r="J21">
        <v>1131</v>
      </c>
      <c r="L21">
        <v>10</v>
      </c>
      <c r="M21">
        <f>VLOOKUP(L21,Regolamento!A:B,2,1)</f>
        <v>31</v>
      </c>
      <c r="N21" s="4">
        <f t="shared" si="2"/>
        <v>1.42</v>
      </c>
      <c r="O21" s="4">
        <f t="shared" si="3"/>
        <v>1.54</v>
      </c>
      <c r="P21" s="6">
        <f t="shared" si="4"/>
        <v>67.79079999999999</v>
      </c>
      <c r="R21" s="6">
        <f t="shared" si="5"/>
        <v>15.656146179401993</v>
      </c>
      <c r="T21" t="s">
        <v>7</v>
      </c>
    </row>
    <row r="22" spans="1:20" x14ac:dyDescent="0.25">
      <c r="A22" s="8" t="s">
        <v>13</v>
      </c>
      <c r="B22" s="12" t="str">
        <f>VLOOKUP(A22,concorrenti!A:B,2,1)</f>
        <v>VAMS</v>
      </c>
      <c r="C22" s="12">
        <f>VLOOKUP(A22,concorrenti!A:E,5,1)</f>
        <v>0</v>
      </c>
      <c r="D22" s="80" t="s">
        <v>144</v>
      </c>
      <c r="E22" t="s">
        <v>409</v>
      </c>
      <c r="F22">
        <v>1929</v>
      </c>
      <c r="H22" s="89">
        <f t="shared" si="0"/>
        <v>1003.8759689922481</v>
      </c>
      <c r="I22" s="4">
        <f t="shared" si="1"/>
        <v>1.29</v>
      </c>
      <c r="J22">
        <v>1295</v>
      </c>
      <c r="K22" s="9"/>
      <c r="L22">
        <v>11</v>
      </c>
      <c r="M22">
        <f>VLOOKUP(L22,Regolamento!A:B,2,1)</f>
        <v>30</v>
      </c>
      <c r="N22" s="4">
        <f t="shared" si="2"/>
        <v>1.42</v>
      </c>
      <c r="O22" s="4">
        <f t="shared" si="3"/>
        <v>1.54</v>
      </c>
      <c r="P22" s="6">
        <f t="shared" si="4"/>
        <v>65.603999999999999</v>
      </c>
      <c r="R22" s="6">
        <f t="shared" si="5"/>
        <v>23.901808785529717</v>
      </c>
    </row>
    <row r="23" spans="1:20" x14ac:dyDescent="0.25">
      <c r="A23" s="8" t="s">
        <v>31</v>
      </c>
      <c r="B23" s="12" t="str">
        <f>VLOOKUP(A23,concorrenti!A:B,2,1)</f>
        <v>OROBICO</v>
      </c>
      <c r="C23" s="12">
        <f>VLOOKUP(A23,concorrenti!A:E,5,1)</f>
        <v>0</v>
      </c>
      <c r="D23" t="s">
        <v>121</v>
      </c>
      <c r="E23" s="70" t="s">
        <v>153</v>
      </c>
      <c r="F23">
        <v>1975</v>
      </c>
      <c r="H23" s="89">
        <f t="shared" si="0"/>
        <v>760.57142857142856</v>
      </c>
      <c r="I23" s="4">
        <f t="shared" si="1"/>
        <v>1.75</v>
      </c>
      <c r="J23">
        <v>1331</v>
      </c>
      <c r="L23">
        <v>12</v>
      </c>
      <c r="M23">
        <f>VLOOKUP(L23,Regolamento!A:B,2,1)</f>
        <v>29</v>
      </c>
      <c r="N23" s="4">
        <f t="shared" si="2"/>
        <v>1.42</v>
      </c>
      <c r="O23" s="4">
        <f t="shared" si="3"/>
        <v>1.54</v>
      </c>
      <c r="P23" s="6">
        <f t="shared" si="4"/>
        <v>63.417200000000001</v>
      </c>
      <c r="R23" s="6">
        <f t="shared" si="5"/>
        <v>18.108843537414966</v>
      </c>
    </row>
    <row r="24" spans="1:20" x14ac:dyDescent="0.25">
      <c r="A24" s="8" t="s">
        <v>12</v>
      </c>
      <c r="B24" s="12" t="str">
        <f>VLOOKUP(A24,concorrenti!A:B,2,1)</f>
        <v>VAMS</v>
      </c>
      <c r="C24" s="12">
        <f>VLOOKUP(A24,concorrenti!A:E,5,1)</f>
        <v>0</v>
      </c>
      <c r="D24" t="s">
        <v>335</v>
      </c>
      <c r="E24" t="s">
        <v>129</v>
      </c>
      <c r="F24">
        <v>1960</v>
      </c>
      <c r="H24" s="89">
        <f t="shared" si="0"/>
        <v>858.75</v>
      </c>
      <c r="I24" s="4">
        <f t="shared" si="1"/>
        <v>1.6</v>
      </c>
      <c r="J24">
        <v>1374</v>
      </c>
      <c r="L24">
        <v>13</v>
      </c>
      <c r="M24">
        <f>VLOOKUP(L24,Regolamento!A:B,2,1)</f>
        <v>28</v>
      </c>
      <c r="N24" s="4">
        <f t="shared" si="2"/>
        <v>1.42</v>
      </c>
      <c r="O24" s="4">
        <f t="shared" si="3"/>
        <v>1.54</v>
      </c>
      <c r="P24" s="6">
        <f t="shared" si="4"/>
        <v>61.230399999999996</v>
      </c>
      <c r="R24" s="6">
        <f t="shared" si="5"/>
        <v>20.446428571428573</v>
      </c>
    </row>
    <row r="25" spans="1:20" x14ac:dyDescent="0.25">
      <c r="A25" s="8" t="s">
        <v>221</v>
      </c>
      <c r="B25" s="12" t="str">
        <f>VLOOKUP(A25,concorrenti!A:B,2,1)</f>
        <v>VAMS</v>
      </c>
      <c r="C25" s="12">
        <f>VLOOKUP(A25,concorrenti!A:E,5,1)</f>
        <v>0</v>
      </c>
      <c r="D25" t="s">
        <v>411</v>
      </c>
      <c r="E25" t="s">
        <v>428</v>
      </c>
      <c r="F25">
        <v>1969</v>
      </c>
      <c r="H25" s="89">
        <f t="shared" si="0"/>
        <v>873.96449704142015</v>
      </c>
      <c r="I25" s="4">
        <f t="shared" si="1"/>
        <v>1.69</v>
      </c>
      <c r="J25">
        <v>1477</v>
      </c>
      <c r="L25">
        <v>14</v>
      </c>
      <c r="M25">
        <f>VLOOKUP(L25,Regolamento!A:B,2,1)</f>
        <v>27</v>
      </c>
      <c r="N25" s="4">
        <f t="shared" si="2"/>
        <v>1.42</v>
      </c>
      <c r="O25" s="4">
        <f t="shared" si="3"/>
        <v>1.54</v>
      </c>
      <c r="P25" s="6">
        <f t="shared" si="4"/>
        <v>59.043599999999998</v>
      </c>
      <c r="R25" s="6">
        <f t="shared" si="5"/>
        <v>20.808678500986193</v>
      </c>
    </row>
    <row r="26" spans="1:20" x14ac:dyDescent="0.25">
      <c r="A26" s="8" t="s">
        <v>29</v>
      </c>
      <c r="B26" s="12" t="str">
        <f>VLOOKUP(A26,concorrenti!A:B,2,1)</f>
        <v>OROBICO</v>
      </c>
      <c r="C26" s="12">
        <f>VLOOKUP(A26,concorrenti!A:E,5,1)</f>
        <v>0</v>
      </c>
      <c r="D26" s="80" t="s">
        <v>230</v>
      </c>
      <c r="E26" t="s">
        <v>414</v>
      </c>
      <c r="F26">
        <v>1973</v>
      </c>
      <c r="H26" s="89">
        <f t="shared" si="0"/>
        <v>964.73988439306356</v>
      </c>
      <c r="I26" s="4">
        <f t="shared" si="1"/>
        <v>1.73</v>
      </c>
      <c r="J26">
        <v>1669</v>
      </c>
      <c r="L26">
        <v>15</v>
      </c>
      <c r="M26">
        <f>VLOOKUP(L26,Regolamento!A:B,2,1)</f>
        <v>26</v>
      </c>
      <c r="N26" s="4">
        <f t="shared" si="2"/>
        <v>1.42</v>
      </c>
      <c r="O26" s="4">
        <f t="shared" si="3"/>
        <v>1.54</v>
      </c>
      <c r="P26" s="6">
        <f t="shared" si="4"/>
        <v>56.856800000000007</v>
      </c>
      <c r="R26" s="6">
        <f t="shared" si="5"/>
        <v>22.969997247453893</v>
      </c>
    </row>
    <row r="27" spans="1:20" ht="14.25" x14ac:dyDescent="0.25">
      <c r="A27" s="8" t="s">
        <v>30</v>
      </c>
      <c r="B27" s="12" t="str">
        <f>VLOOKUP(A27,concorrenti!A:B,2,1)</f>
        <v>VAMS</v>
      </c>
      <c r="C27" s="12">
        <f>VLOOKUP(A27,concorrenti!A:E,5,1)</f>
        <v>0</v>
      </c>
      <c r="D27" t="s">
        <v>121</v>
      </c>
      <c r="E27" t="s">
        <v>436</v>
      </c>
      <c r="F27">
        <v>1968</v>
      </c>
      <c r="H27" s="89">
        <f t="shared" si="0"/>
        <v>1018.4523809523808</v>
      </c>
      <c r="I27" s="4">
        <f t="shared" si="1"/>
        <v>1.6800000000000002</v>
      </c>
      <c r="J27">
        <v>1711</v>
      </c>
      <c r="L27">
        <v>16</v>
      </c>
      <c r="M27">
        <f>VLOOKUP(L27,Regolamento!A:B,2,1)</f>
        <v>25</v>
      </c>
      <c r="N27" s="4">
        <f t="shared" si="2"/>
        <v>1.42</v>
      </c>
      <c r="O27" s="4">
        <f t="shared" si="3"/>
        <v>1.54</v>
      </c>
      <c r="P27" s="6">
        <f t="shared" si="4"/>
        <v>54.67</v>
      </c>
      <c r="R27" s="6">
        <f t="shared" si="5"/>
        <v>24.248866213151924</v>
      </c>
    </row>
    <row r="28" spans="1:20" x14ac:dyDescent="0.25">
      <c r="A28" t="s">
        <v>384</v>
      </c>
      <c r="B28" s="12" t="str">
        <f>VLOOKUP(A28,concorrenti!A:B,2,1)</f>
        <v>GAMS</v>
      </c>
      <c r="C28" s="12">
        <f>VLOOKUP(A28,concorrenti!A:E,5,1)</f>
        <v>0</v>
      </c>
      <c r="D28" s="80" t="s">
        <v>232</v>
      </c>
      <c r="E28" t="s">
        <v>417</v>
      </c>
      <c r="F28">
        <v>1961</v>
      </c>
      <c r="H28" s="89">
        <f t="shared" si="0"/>
        <v>1211.801242236025</v>
      </c>
      <c r="I28" s="4">
        <f t="shared" si="1"/>
        <v>1.6099999999999999</v>
      </c>
      <c r="J28">
        <v>1951</v>
      </c>
      <c r="L28">
        <v>17</v>
      </c>
      <c r="M28">
        <f>VLOOKUP(L28,Regolamento!A:B,2,1)</f>
        <v>24</v>
      </c>
      <c r="N28" s="4">
        <f t="shared" si="2"/>
        <v>1.42</v>
      </c>
      <c r="O28" s="4">
        <f t="shared" si="3"/>
        <v>1.54</v>
      </c>
      <c r="P28" s="6">
        <f t="shared" si="4"/>
        <v>52.483199999999997</v>
      </c>
      <c r="R28" s="6">
        <f t="shared" si="5"/>
        <v>28.852410529429168</v>
      </c>
    </row>
    <row r="29" spans="1:20" x14ac:dyDescent="0.25">
      <c r="A29" s="8" t="s">
        <v>84</v>
      </c>
      <c r="B29" s="12" t="str">
        <f>VLOOKUP(A29,concorrenti!A:B,2,1)</f>
        <v>VALTELLINA</v>
      </c>
      <c r="C29" s="12">
        <f>VLOOKUP(A29,concorrenti!A:E,5,1)</f>
        <v>0</v>
      </c>
      <c r="D29" t="s">
        <v>121</v>
      </c>
      <c r="E29" s="70" t="s">
        <v>444</v>
      </c>
      <c r="F29">
        <v>1969</v>
      </c>
      <c r="H29" s="89">
        <f t="shared" si="0"/>
        <v>1205.9171597633137</v>
      </c>
      <c r="I29" s="4">
        <f t="shared" si="1"/>
        <v>1.69</v>
      </c>
      <c r="J29">
        <v>2038</v>
      </c>
      <c r="L29">
        <v>18</v>
      </c>
      <c r="M29">
        <f>VLOOKUP(L29,Regolamento!A:B,2,1)</f>
        <v>23</v>
      </c>
      <c r="N29" s="4">
        <f t="shared" si="2"/>
        <v>1.42</v>
      </c>
      <c r="O29" s="4">
        <f t="shared" si="3"/>
        <v>1.54</v>
      </c>
      <c r="P29" s="6">
        <f t="shared" si="4"/>
        <v>50.296399999999998</v>
      </c>
      <c r="R29" s="6">
        <f t="shared" si="5"/>
        <v>28.712313327697945</v>
      </c>
    </row>
    <row r="30" spans="1:20" x14ac:dyDescent="0.25">
      <c r="A30" t="s">
        <v>389</v>
      </c>
      <c r="B30" s="12" t="str">
        <f>VLOOKUP(A30,concorrenti!A:B,2,1)</f>
        <v>GAMS</v>
      </c>
      <c r="C30" s="12">
        <f>VLOOKUP(A30,concorrenti!A:E,5,1)</f>
        <v>0</v>
      </c>
      <c r="H30" s="89" t="e">
        <f t="shared" si="0"/>
        <v>#VALUE!</v>
      </c>
      <c r="I30" s="4" t="e">
        <f t="shared" si="1"/>
        <v>#VALUE!</v>
      </c>
      <c r="J30">
        <v>2149</v>
      </c>
      <c r="L30">
        <v>19</v>
      </c>
      <c r="M30">
        <f>VLOOKUP(L30,Regolamento!A:B,2,1)</f>
        <v>22</v>
      </c>
      <c r="N30" s="4">
        <f t="shared" si="2"/>
        <v>1.42</v>
      </c>
      <c r="O30" s="4">
        <f t="shared" si="3"/>
        <v>1.54</v>
      </c>
      <c r="P30" s="6">
        <f>IF(J30&lt;&gt;0,+M30*N30*O30,0)</f>
        <v>48.1096</v>
      </c>
      <c r="R30" s="6" t="e">
        <f t="shared" si="5"/>
        <v>#VALUE!</v>
      </c>
    </row>
    <row r="31" spans="1:20" x14ac:dyDescent="0.25">
      <c r="A31" t="s">
        <v>379</v>
      </c>
      <c r="B31" s="12" t="str">
        <f>VLOOKUP(A31,concorrenti!A:B,2,1)</f>
        <v>GAMS</v>
      </c>
      <c r="C31" s="12">
        <f>VLOOKUP(A31,concorrenti!A:E,5,1)</f>
        <v>0</v>
      </c>
      <c r="D31" s="80" t="s">
        <v>121</v>
      </c>
      <c r="E31" t="s">
        <v>250</v>
      </c>
      <c r="F31">
        <v>1981</v>
      </c>
      <c r="H31" s="89">
        <f t="shared" si="0"/>
        <v>1252.4861878453039</v>
      </c>
      <c r="I31" s="4">
        <f t="shared" si="1"/>
        <v>1.81</v>
      </c>
      <c r="J31">
        <v>2267</v>
      </c>
      <c r="L31">
        <v>20</v>
      </c>
      <c r="M31">
        <f>VLOOKUP(L31,Regolamento!A:B,2,1)</f>
        <v>21</v>
      </c>
      <c r="N31" s="4">
        <f t="shared" si="2"/>
        <v>1.42</v>
      </c>
      <c r="O31" s="4">
        <f t="shared" si="3"/>
        <v>1.54</v>
      </c>
      <c r="P31" s="6">
        <f t="shared" ref="P31:P65" si="6">IF(H31&lt;&gt;0,+M31*N31*O31,0)</f>
        <v>45.922800000000002</v>
      </c>
      <c r="R31" s="6">
        <f t="shared" si="5"/>
        <v>29.821099710602475</v>
      </c>
    </row>
    <row r="32" spans="1:20" x14ac:dyDescent="0.25">
      <c r="A32" t="s">
        <v>25</v>
      </c>
      <c r="B32" s="12" t="str">
        <f>VLOOKUP(A32,concorrenti!A:B,2,1)</f>
        <v>VAMS</v>
      </c>
      <c r="C32" s="12">
        <f>VLOOKUP(A32,concorrenti!A:E,5,1)</f>
        <v>0</v>
      </c>
      <c r="D32" t="s">
        <v>121</v>
      </c>
      <c r="E32" t="s">
        <v>425</v>
      </c>
      <c r="F32">
        <v>1976</v>
      </c>
      <c r="H32" s="89">
        <f t="shared" si="0"/>
        <v>1376.7045454545455</v>
      </c>
      <c r="I32" s="4">
        <f t="shared" si="1"/>
        <v>1.76</v>
      </c>
      <c r="J32">
        <v>2423</v>
      </c>
      <c r="L32">
        <v>21</v>
      </c>
      <c r="M32">
        <f>VLOOKUP(L32,Regolamento!A:B,2,1)</f>
        <v>20</v>
      </c>
      <c r="N32" s="4">
        <f t="shared" si="2"/>
        <v>1.42</v>
      </c>
      <c r="O32" s="4">
        <f t="shared" si="3"/>
        <v>1.54</v>
      </c>
      <c r="P32" s="6">
        <f t="shared" si="6"/>
        <v>43.735999999999997</v>
      </c>
      <c r="R32" s="6">
        <f t="shared" si="5"/>
        <v>32.778679653679653</v>
      </c>
    </row>
    <row r="33" spans="1:20" x14ac:dyDescent="0.25">
      <c r="A33" t="s">
        <v>380</v>
      </c>
      <c r="B33" s="12" t="str">
        <f>VLOOKUP(A33,concorrenti!A:B,2,1)</f>
        <v>GAMS</v>
      </c>
      <c r="C33" s="12">
        <f>VLOOKUP(A33,concorrenti!A:E,5,1)</f>
        <v>0</v>
      </c>
      <c r="D33" s="80" t="s">
        <v>231</v>
      </c>
      <c r="E33" s="70" t="s">
        <v>410</v>
      </c>
      <c r="F33">
        <v>1966</v>
      </c>
      <c r="G33" s="8"/>
      <c r="H33" s="89">
        <f t="shared" si="0"/>
        <v>1654.8192771084337</v>
      </c>
      <c r="I33" s="4">
        <f t="shared" si="1"/>
        <v>1.6600000000000001</v>
      </c>
      <c r="J33">
        <v>2747</v>
      </c>
      <c r="L33">
        <v>22</v>
      </c>
      <c r="M33">
        <f>VLOOKUP(L33,Regolamento!A:B,2,1)</f>
        <v>19</v>
      </c>
      <c r="N33" s="4">
        <f t="shared" si="2"/>
        <v>1.42</v>
      </c>
      <c r="O33" s="4">
        <f t="shared" si="3"/>
        <v>1.54</v>
      </c>
      <c r="P33" s="6">
        <f t="shared" si="6"/>
        <v>41.549199999999999</v>
      </c>
      <c r="R33" s="6">
        <f t="shared" si="5"/>
        <v>39.400458978772228</v>
      </c>
    </row>
    <row r="34" spans="1:20" x14ac:dyDescent="0.25">
      <c r="A34" t="s">
        <v>390</v>
      </c>
      <c r="B34" s="12" t="str">
        <f>VLOOKUP(A34,concorrenti!A:B,2,1)</f>
        <v>GAMS</v>
      </c>
      <c r="C34" s="12">
        <f>VLOOKUP(A34,concorrenti!A:E,5,1)</f>
        <v>0</v>
      </c>
      <c r="D34" t="s">
        <v>144</v>
      </c>
      <c r="E34" t="s">
        <v>34</v>
      </c>
      <c r="F34">
        <v>1972</v>
      </c>
      <c r="H34" s="89">
        <f t="shared" si="0"/>
        <v>1598.2558139534883</v>
      </c>
      <c r="I34" s="4">
        <f t="shared" si="1"/>
        <v>1.72</v>
      </c>
      <c r="J34">
        <v>2749</v>
      </c>
      <c r="L34">
        <v>23</v>
      </c>
      <c r="M34">
        <f>VLOOKUP(L34,Regolamento!A:B,2,1)</f>
        <v>18</v>
      </c>
      <c r="N34" s="4">
        <f t="shared" si="2"/>
        <v>1.42</v>
      </c>
      <c r="O34" s="4">
        <f t="shared" si="3"/>
        <v>1.54</v>
      </c>
      <c r="P34" s="6">
        <f t="shared" si="6"/>
        <v>39.362400000000001</v>
      </c>
      <c r="R34" s="6">
        <f t="shared" si="5"/>
        <v>38.053709856035439</v>
      </c>
    </row>
    <row r="35" spans="1:20" x14ac:dyDescent="0.25">
      <c r="A35" t="s">
        <v>391</v>
      </c>
      <c r="B35" s="12" t="str">
        <f>VLOOKUP(A35,concorrenti!A:B,2,1)</f>
        <v>CMAE</v>
      </c>
      <c r="C35" s="12">
        <f>VLOOKUP(A35,concorrenti!A:E,5,1)</f>
        <v>0</v>
      </c>
      <c r="D35" t="s">
        <v>237</v>
      </c>
      <c r="E35" t="s">
        <v>426</v>
      </c>
      <c r="F35">
        <v>1999</v>
      </c>
      <c r="H35" s="89">
        <f t="shared" si="0"/>
        <v>1402.0100502512562</v>
      </c>
      <c r="I35" s="4">
        <f t="shared" si="1"/>
        <v>1.99</v>
      </c>
      <c r="J35">
        <v>2790</v>
      </c>
      <c r="L35">
        <v>24</v>
      </c>
      <c r="M35">
        <f>VLOOKUP(L35,Regolamento!A:B,2,1)</f>
        <v>17</v>
      </c>
      <c r="N35" s="4">
        <f t="shared" si="2"/>
        <v>1.42</v>
      </c>
      <c r="O35" s="4">
        <f t="shared" si="3"/>
        <v>1.54</v>
      </c>
      <c r="P35" s="6">
        <f t="shared" si="6"/>
        <v>37.175600000000003</v>
      </c>
      <c r="R35" s="6">
        <f t="shared" si="5"/>
        <v>33.38119167264896</v>
      </c>
    </row>
    <row r="36" spans="1:20" x14ac:dyDescent="0.25">
      <c r="A36" t="s">
        <v>393</v>
      </c>
      <c r="B36" s="12" t="str">
        <f>VLOOKUP(A36,concorrenti!A:B,2,1)</f>
        <v>GAMS</v>
      </c>
      <c r="C36" s="12">
        <f>VLOOKUP(A36,concorrenti!A:E,5,1)</f>
        <v>0</v>
      </c>
      <c r="D36" t="s">
        <v>340</v>
      </c>
      <c r="E36" t="s">
        <v>430</v>
      </c>
      <c r="F36">
        <v>1998</v>
      </c>
      <c r="H36" s="89">
        <f t="shared" si="0"/>
        <v>1784.8484848484848</v>
      </c>
      <c r="I36" s="4">
        <f t="shared" si="1"/>
        <v>1.98</v>
      </c>
      <c r="J36">
        <v>3534</v>
      </c>
      <c r="L36">
        <v>25</v>
      </c>
      <c r="M36">
        <f>VLOOKUP(L36,Regolamento!A:B,2,1)</f>
        <v>16</v>
      </c>
      <c r="N36" s="4">
        <f t="shared" si="2"/>
        <v>1.42</v>
      </c>
      <c r="O36" s="4">
        <f t="shared" si="3"/>
        <v>1.54</v>
      </c>
      <c r="P36" s="6">
        <f t="shared" si="6"/>
        <v>34.988799999999998</v>
      </c>
      <c r="R36" s="6">
        <f t="shared" si="5"/>
        <v>42.496392496392495</v>
      </c>
    </row>
    <row r="37" spans="1:20" x14ac:dyDescent="0.25">
      <c r="A37" t="s">
        <v>388</v>
      </c>
      <c r="B37" s="12" t="str">
        <f>VLOOKUP(A37,concorrenti!A:B,2,1)</f>
        <v>GAMS</v>
      </c>
      <c r="C37" s="12">
        <f>VLOOKUP(A37,concorrenti!A:E,5,1)</f>
        <v>0</v>
      </c>
      <c r="D37" s="80" t="s">
        <v>232</v>
      </c>
      <c r="E37" t="s">
        <v>423</v>
      </c>
      <c r="F37">
        <v>1956</v>
      </c>
      <c r="H37" s="89">
        <f t="shared" si="0"/>
        <v>2266.0256410256411</v>
      </c>
      <c r="I37" s="4">
        <f t="shared" si="1"/>
        <v>1.56</v>
      </c>
      <c r="J37">
        <v>3535</v>
      </c>
      <c r="L37">
        <v>26</v>
      </c>
      <c r="M37">
        <f>VLOOKUP(L37,Regolamento!A:B,2,1)</f>
        <v>15</v>
      </c>
      <c r="N37" s="4">
        <f t="shared" si="2"/>
        <v>1.42</v>
      </c>
      <c r="O37" s="4">
        <f t="shared" si="3"/>
        <v>1.54</v>
      </c>
      <c r="P37" s="6">
        <f t="shared" si="6"/>
        <v>32.802</v>
      </c>
      <c r="R37" s="6">
        <f t="shared" si="5"/>
        <v>53.952991452991455</v>
      </c>
      <c r="T37" t="s">
        <v>7</v>
      </c>
    </row>
    <row r="38" spans="1:20" x14ac:dyDescent="0.25">
      <c r="A38" t="s">
        <v>385</v>
      </c>
      <c r="B38" s="12" t="str">
        <f>VLOOKUP(A38,concorrenti!A:B,2,1)</f>
        <v>GAMS</v>
      </c>
      <c r="C38" s="12">
        <f>VLOOKUP(A38,concorrenti!A:E,5,1)</f>
        <v>0</v>
      </c>
      <c r="D38" s="80" t="s">
        <v>230</v>
      </c>
      <c r="E38" t="s">
        <v>421</v>
      </c>
      <c r="F38">
        <v>1991</v>
      </c>
      <c r="H38" s="89">
        <f t="shared" si="0"/>
        <v>1883.2460732984291</v>
      </c>
      <c r="I38" s="4">
        <f t="shared" si="1"/>
        <v>1.9100000000000001</v>
      </c>
      <c r="J38">
        <v>3597</v>
      </c>
      <c r="L38">
        <v>27</v>
      </c>
      <c r="M38">
        <f>VLOOKUP(L38,Regolamento!A:B,2,1)</f>
        <v>14</v>
      </c>
      <c r="N38" s="4">
        <f t="shared" si="2"/>
        <v>1.42</v>
      </c>
      <c r="O38" s="4">
        <f t="shared" si="3"/>
        <v>1.54</v>
      </c>
      <c r="P38" s="6">
        <f t="shared" si="6"/>
        <v>30.615199999999998</v>
      </c>
      <c r="R38" s="6">
        <f t="shared" si="5"/>
        <v>44.839192221391173</v>
      </c>
      <c r="T38" t="s">
        <v>7</v>
      </c>
    </row>
    <row r="39" spans="1:20" x14ac:dyDescent="0.25">
      <c r="A39" s="8" t="s">
        <v>40</v>
      </c>
      <c r="B39" s="12" t="str">
        <f>VLOOKUP(A39,concorrenti!A:B,2,1)</f>
        <v>VAMS</v>
      </c>
      <c r="C39" s="12">
        <f>VLOOKUP(A39,concorrenti!A:E,5,1)</f>
        <v>0</v>
      </c>
      <c r="D39" t="s">
        <v>144</v>
      </c>
      <c r="E39" t="s">
        <v>33</v>
      </c>
      <c r="F39">
        <v>1957</v>
      </c>
      <c r="H39" s="89">
        <f t="shared" si="0"/>
        <v>2292.9936305732485</v>
      </c>
      <c r="I39" s="4">
        <f t="shared" si="1"/>
        <v>1.5699999999999998</v>
      </c>
      <c r="J39">
        <v>3600</v>
      </c>
      <c r="L39">
        <v>28</v>
      </c>
      <c r="M39">
        <f>VLOOKUP(L39,Regolamento!A:B,2,1)</f>
        <v>13</v>
      </c>
      <c r="N39" s="4">
        <f t="shared" si="2"/>
        <v>1.42</v>
      </c>
      <c r="O39" s="4">
        <f t="shared" si="3"/>
        <v>1.54</v>
      </c>
      <c r="P39" s="6">
        <f t="shared" si="6"/>
        <v>28.428400000000003</v>
      </c>
      <c r="R39" s="6">
        <f t="shared" si="5"/>
        <v>54.5950864422202</v>
      </c>
      <c r="T39" t="s">
        <v>7</v>
      </c>
    </row>
    <row r="40" spans="1:20" x14ac:dyDescent="0.25">
      <c r="A40" t="s">
        <v>395</v>
      </c>
      <c r="B40" s="12" t="str">
        <f>VLOOKUP(A40,concorrenti!A:B,2,1)</f>
        <v>GAMS</v>
      </c>
      <c r="C40" s="12">
        <f>VLOOKUP(A40,concorrenti!A:E,5,1)</f>
        <v>0</v>
      </c>
      <c r="D40" t="s">
        <v>241</v>
      </c>
      <c r="E40" t="s">
        <v>433</v>
      </c>
      <c r="F40">
        <v>1965</v>
      </c>
      <c r="H40" s="89">
        <f t="shared" si="0"/>
        <v>2192.727272727273</v>
      </c>
      <c r="I40" s="4">
        <f t="shared" si="1"/>
        <v>1.65</v>
      </c>
      <c r="J40">
        <v>3618</v>
      </c>
      <c r="L40">
        <v>29</v>
      </c>
      <c r="M40">
        <f>VLOOKUP(L40,Regolamento!A:B,2,1)</f>
        <v>12</v>
      </c>
      <c r="N40" s="4">
        <f t="shared" si="2"/>
        <v>1.42</v>
      </c>
      <c r="O40" s="4">
        <f t="shared" si="3"/>
        <v>1.54</v>
      </c>
      <c r="P40" s="6">
        <f t="shared" si="6"/>
        <v>26.241599999999998</v>
      </c>
      <c r="R40" s="6">
        <f t="shared" si="5"/>
        <v>52.207792207792217</v>
      </c>
      <c r="T40" t="s">
        <v>7</v>
      </c>
    </row>
    <row r="41" spans="1:20" x14ac:dyDescent="0.25">
      <c r="A41" s="8" t="s">
        <v>18</v>
      </c>
      <c r="B41" s="12" t="str">
        <f>VLOOKUP(A41,concorrenti!A:B,2,1)</f>
        <v>VAMS</v>
      </c>
      <c r="C41" s="12">
        <f>VLOOKUP(A41,concorrenti!A:E,5,1)</f>
        <v>0</v>
      </c>
      <c r="D41" s="80" t="s">
        <v>232</v>
      </c>
      <c r="E41" t="s">
        <v>416</v>
      </c>
      <c r="F41">
        <v>1983</v>
      </c>
      <c r="H41" s="89">
        <f t="shared" si="0"/>
        <v>2116.9398907103823</v>
      </c>
      <c r="I41" s="4">
        <f t="shared" si="1"/>
        <v>1.83</v>
      </c>
      <c r="J41">
        <v>3874</v>
      </c>
      <c r="L41">
        <v>30</v>
      </c>
      <c r="M41">
        <f>VLOOKUP(L41,Regolamento!A:B,2,1)</f>
        <v>11</v>
      </c>
      <c r="N41" s="4">
        <f t="shared" si="2"/>
        <v>1.42</v>
      </c>
      <c r="O41" s="4">
        <f t="shared" si="3"/>
        <v>1.54</v>
      </c>
      <c r="P41" s="6">
        <f t="shared" si="6"/>
        <v>24.0548</v>
      </c>
      <c r="R41" s="6">
        <f t="shared" si="5"/>
        <v>50.403330731199581</v>
      </c>
      <c r="T41" t="s">
        <v>7</v>
      </c>
    </row>
    <row r="42" spans="1:20" x14ac:dyDescent="0.25">
      <c r="A42" t="s">
        <v>383</v>
      </c>
      <c r="B42" s="12" t="str">
        <f>VLOOKUP(A42,concorrenti!A:B,2,1)</f>
        <v>GAMS</v>
      </c>
      <c r="C42" s="12">
        <f>VLOOKUP(A42,concorrenti!A:E,5,1)</f>
        <v>0</v>
      </c>
      <c r="D42" s="80" t="s">
        <v>411</v>
      </c>
      <c r="E42" t="s">
        <v>412</v>
      </c>
      <c r="F42">
        <v>1965</v>
      </c>
      <c r="H42" s="89">
        <f t="shared" si="0"/>
        <v>2392.1212121212125</v>
      </c>
      <c r="I42" s="4">
        <f t="shared" si="1"/>
        <v>1.65</v>
      </c>
      <c r="J42">
        <v>3947</v>
      </c>
      <c r="L42">
        <v>31</v>
      </c>
      <c r="M42">
        <f>VLOOKUP(L42,Regolamento!A:B,2,1)</f>
        <v>10</v>
      </c>
      <c r="N42" s="4">
        <f t="shared" si="2"/>
        <v>1.42</v>
      </c>
      <c r="O42" s="4">
        <f t="shared" si="3"/>
        <v>1.54</v>
      </c>
      <c r="P42" s="6">
        <f t="shared" si="6"/>
        <v>21.867999999999999</v>
      </c>
      <c r="R42" s="6">
        <f t="shared" si="5"/>
        <v>56.955266955266964</v>
      </c>
      <c r="T42" t="s">
        <v>7</v>
      </c>
    </row>
    <row r="43" spans="1:20" x14ac:dyDescent="0.25">
      <c r="A43" t="s">
        <v>403</v>
      </c>
      <c r="B43" s="12" t="str">
        <f>VLOOKUP(A43,concorrenti!A:B,2,1)</f>
        <v>GAMS</v>
      </c>
      <c r="C43" s="12">
        <f>VLOOKUP(A43,concorrenti!A:E,5,1)</f>
        <v>0</v>
      </c>
      <c r="D43" t="s">
        <v>121</v>
      </c>
      <c r="E43" t="s">
        <v>122</v>
      </c>
      <c r="F43">
        <v>1971</v>
      </c>
      <c r="H43" s="89">
        <f t="shared" si="0"/>
        <v>2335.6725146198833</v>
      </c>
      <c r="I43" s="4">
        <f t="shared" si="1"/>
        <v>1.71</v>
      </c>
      <c r="J43">
        <v>3994</v>
      </c>
      <c r="L43">
        <v>32</v>
      </c>
      <c r="M43">
        <f>VLOOKUP(L43,Regolamento!A:B,2,1)</f>
        <v>9</v>
      </c>
      <c r="N43" s="4">
        <f t="shared" si="2"/>
        <v>1.42</v>
      </c>
      <c r="O43" s="4">
        <f t="shared" si="3"/>
        <v>1.54</v>
      </c>
      <c r="P43" s="6">
        <f t="shared" si="6"/>
        <v>19.6812</v>
      </c>
      <c r="R43" s="6">
        <f t="shared" si="5"/>
        <v>55.611250348092462</v>
      </c>
    </row>
    <row r="44" spans="1:20" x14ac:dyDescent="0.25">
      <c r="A44" t="s">
        <v>399</v>
      </c>
      <c r="B44" s="12" t="str">
        <f>VLOOKUP(A44,concorrenti!A:B,2,1)</f>
        <v>GAMS</v>
      </c>
      <c r="C44" s="12">
        <f>VLOOKUP(A44,concorrenti!A:E,5,1)</f>
        <v>0</v>
      </c>
      <c r="D44" s="80" t="s">
        <v>232</v>
      </c>
      <c r="E44" t="s">
        <v>437</v>
      </c>
      <c r="F44">
        <v>1962</v>
      </c>
      <c r="H44" s="89">
        <f t="shared" ref="H44:H65" si="7">+J44/I44</f>
        <v>2469.1358024691358</v>
      </c>
      <c r="I44" s="4">
        <f t="shared" ref="I44:I64" si="8">IF(C44&lt;&gt;0,((1+RIGHT(F44,2)/100)-0.1),(1+RIGHT(F44,2)/100))</f>
        <v>1.62</v>
      </c>
      <c r="J44">
        <v>4000</v>
      </c>
      <c r="L44">
        <v>33</v>
      </c>
      <c r="M44">
        <f>VLOOKUP(L44,Regolamento!A:B,2,1)</f>
        <v>8</v>
      </c>
      <c r="N44" s="4">
        <f t="shared" ref="N44:N65" si="9">1+E$5/100</f>
        <v>1.42</v>
      </c>
      <c r="O44" s="4">
        <f t="shared" ref="O44:O65" si="10">1+E$6/100</f>
        <v>1.54</v>
      </c>
      <c r="P44" s="6">
        <f t="shared" si="6"/>
        <v>17.494399999999999</v>
      </c>
      <c r="R44" s="6">
        <f t="shared" ref="R44:R65" si="11">+H44/E$5</f>
        <v>58.788947677836568</v>
      </c>
    </row>
    <row r="45" spans="1:20" x14ac:dyDescent="0.25">
      <c r="A45" t="s">
        <v>445</v>
      </c>
      <c r="B45" s="12" t="str">
        <f>VLOOKUP(A45,concorrenti!A:B,2,1)</f>
        <v>GAMS</v>
      </c>
      <c r="C45" s="12">
        <f>VLOOKUP(A45,concorrenti!A:E,5,1)</f>
        <v>0</v>
      </c>
      <c r="D45" t="s">
        <v>144</v>
      </c>
      <c r="E45" t="s">
        <v>33</v>
      </c>
      <c r="F45">
        <v>1959</v>
      </c>
      <c r="G45" s="8"/>
      <c r="H45" s="89">
        <f t="shared" si="7"/>
        <v>2547.798742138365</v>
      </c>
      <c r="I45" s="4">
        <f t="shared" si="8"/>
        <v>1.5899999999999999</v>
      </c>
      <c r="J45">
        <v>4051</v>
      </c>
      <c r="L45">
        <v>34</v>
      </c>
      <c r="M45">
        <f>VLOOKUP(L45,Regolamento!A:B,2,1)</f>
        <v>7</v>
      </c>
      <c r="N45" s="4">
        <f t="shared" si="9"/>
        <v>1.42</v>
      </c>
      <c r="O45" s="4">
        <f t="shared" si="10"/>
        <v>1.54</v>
      </c>
      <c r="P45" s="6">
        <f t="shared" si="6"/>
        <v>15.307599999999999</v>
      </c>
      <c r="R45" s="6">
        <f t="shared" si="11"/>
        <v>60.661874812818212</v>
      </c>
    </row>
    <row r="46" spans="1:20" x14ac:dyDescent="0.25">
      <c r="A46" t="s">
        <v>397</v>
      </c>
      <c r="B46" s="12" t="str">
        <f>VLOOKUP(A46,concorrenti!A:B,2,1)</f>
        <v>GAMS</v>
      </c>
      <c r="C46" s="12">
        <f>VLOOKUP(A46,concorrenti!A:E,5,1)</f>
        <v>0</v>
      </c>
      <c r="D46" s="80" t="s">
        <v>230</v>
      </c>
      <c r="E46" t="s">
        <v>434</v>
      </c>
      <c r="F46">
        <v>1970</v>
      </c>
      <c r="H46" s="89">
        <f t="shared" si="7"/>
        <v>2634.1176470588234</v>
      </c>
      <c r="I46" s="4">
        <f t="shared" si="8"/>
        <v>1.7</v>
      </c>
      <c r="J46">
        <v>4478</v>
      </c>
      <c r="L46">
        <v>35</v>
      </c>
      <c r="M46">
        <f>VLOOKUP(L46,Regolamento!A:B,2,1)</f>
        <v>6</v>
      </c>
      <c r="N46" s="4">
        <f t="shared" si="9"/>
        <v>1.42</v>
      </c>
      <c r="O46" s="4">
        <f t="shared" si="10"/>
        <v>1.54</v>
      </c>
      <c r="P46" s="6">
        <f t="shared" si="6"/>
        <v>13.120799999999999</v>
      </c>
      <c r="R46" s="6">
        <f t="shared" si="11"/>
        <v>62.717086834733891</v>
      </c>
    </row>
    <row r="47" spans="1:20" x14ac:dyDescent="0.25">
      <c r="A47" s="8" t="s">
        <v>307</v>
      </c>
      <c r="B47" s="12" t="str">
        <f>VLOOKUP(A47,concorrenti!A:B,2,1)</f>
        <v>OROBICO</v>
      </c>
      <c r="C47" s="12">
        <f>VLOOKUP(A47,concorrenti!A:E,5,1)</f>
        <v>0</v>
      </c>
      <c r="D47" s="80" t="s">
        <v>232</v>
      </c>
      <c r="E47" t="s">
        <v>431</v>
      </c>
      <c r="F47">
        <v>1973</v>
      </c>
      <c r="H47" s="89">
        <f t="shared" si="7"/>
        <v>2630.057803468208</v>
      </c>
      <c r="I47" s="4">
        <f t="shared" si="8"/>
        <v>1.73</v>
      </c>
      <c r="J47">
        <v>4550</v>
      </c>
      <c r="L47">
        <v>36</v>
      </c>
      <c r="M47">
        <f>VLOOKUP(L47,Regolamento!A:B,2,1)</f>
        <v>5</v>
      </c>
      <c r="N47" s="4">
        <f t="shared" si="9"/>
        <v>1.42</v>
      </c>
      <c r="O47" s="4">
        <f t="shared" si="10"/>
        <v>1.54</v>
      </c>
      <c r="P47" s="6">
        <f t="shared" si="6"/>
        <v>10.933999999999999</v>
      </c>
      <c r="R47" s="6">
        <f t="shared" si="11"/>
        <v>62.620423892100192</v>
      </c>
    </row>
    <row r="48" spans="1:20" x14ac:dyDescent="0.25">
      <c r="A48" t="s">
        <v>382</v>
      </c>
      <c r="B48" s="12" t="str">
        <f>VLOOKUP(A48,concorrenti!A:B,2,1)</f>
        <v>GAMS</v>
      </c>
      <c r="C48" s="12">
        <f>VLOOKUP(A48,concorrenti!A:E,5,1)</f>
        <v>0</v>
      </c>
      <c r="D48" s="80" t="s">
        <v>232</v>
      </c>
      <c r="E48" t="s">
        <v>413</v>
      </c>
      <c r="F48">
        <v>1982</v>
      </c>
      <c r="G48" s="9"/>
      <c r="H48" s="89">
        <f t="shared" si="7"/>
        <v>2713.1868131868137</v>
      </c>
      <c r="I48" s="4">
        <f t="shared" si="8"/>
        <v>1.8199999999999998</v>
      </c>
      <c r="J48">
        <v>4938</v>
      </c>
      <c r="L48">
        <v>37</v>
      </c>
      <c r="M48">
        <f>VLOOKUP(L48,Regolamento!A:B,2,1)</f>
        <v>4</v>
      </c>
      <c r="N48" s="4">
        <f t="shared" si="9"/>
        <v>1.42</v>
      </c>
      <c r="O48" s="4">
        <f t="shared" si="10"/>
        <v>1.54</v>
      </c>
      <c r="P48" s="6">
        <f t="shared" si="6"/>
        <v>8.7471999999999994</v>
      </c>
      <c r="R48" s="6">
        <f t="shared" si="11"/>
        <v>64.599686028257466</v>
      </c>
    </row>
    <row r="49" spans="1:18" x14ac:dyDescent="0.25">
      <c r="A49" t="s">
        <v>446</v>
      </c>
      <c r="B49" s="12" t="str">
        <f>VLOOKUP(A49,concorrenti!A:B,2,1)</f>
        <v>GAMS</v>
      </c>
      <c r="C49" s="12">
        <f>VLOOKUP(A49,concorrenti!A:E,5,1)</f>
        <v>0</v>
      </c>
      <c r="D49" t="s">
        <v>335</v>
      </c>
      <c r="E49" t="s">
        <v>420</v>
      </c>
      <c r="F49">
        <v>1975</v>
      </c>
      <c r="H49" s="89">
        <f t="shared" si="7"/>
        <v>3020</v>
      </c>
      <c r="I49" s="4">
        <f t="shared" si="8"/>
        <v>1.75</v>
      </c>
      <c r="J49">
        <v>5285</v>
      </c>
      <c r="L49">
        <v>38</v>
      </c>
      <c r="M49">
        <f>VLOOKUP(L49,Regolamento!A:B,2,1)</f>
        <v>3</v>
      </c>
      <c r="N49" s="4">
        <f t="shared" si="9"/>
        <v>1.42</v>
      </c>
      <c r="O49" s="4">
        <f t="shared" si="10"/>
        <v>1.54</v>
      </c>
      <c r="P49" s="6">
        <f t="shared" si="6"/>
        <v>6.5603999999999996</v>
      </c>
      <c r="R49" s="6">
        <f t="shared" si="11"/>
        <v>71.904761904761898</v>
      </c>
    </row>
    <row r="50" spans="1:18" x14ac:dyDescent="0.25">
      <c r="A50" t="s">
        <v>381</v>
      </c>
      <c r="B50" s="12" t="str">
        <f>VLOOKUP(A50,concorrenti!A:B,2,1)</f>
        <v>GAMS</v>
      </c>
      <c r="C50" s="12">
        <f>VLOOKUP(A50,concorrenti!A:E,5,1)</f>
        <v>0</v>
      </c>
      <c r="D50" s="80" t="s">
        <v>411</v>
      </c>
      <c r="E50" t="s">
        <v>412</v>
      </c>
      <c r="F50">
        <v>1967</v>
      </c>
      <c r="H50" s="89">
        <f t="shared" si="7"/>
        <v>3452.6946107784433</v>
      </c>
      <c r="I50" s="4">
        <f t="shared" si="8"/>
        <v>1.67</v>
      </c>
      <c r="J50">
        <v>5766</v>
      </c>
      <c r="L50">
        <v>39</v>
      </c>
      <c r="M50">
        <f>VLOOKUP(L50,Regolamento!A:B,2,1)</f>
        <v>2</v>
      </c>
      <c r="N50" s="4">
        <f t="shared" si="9"/>
        <v>1.42</v>
      </c>
      <c r="O50" s="4">
        <f t="shared" si="10"/>
        <v>1.54</v>
      </c>
      <c r="P50" s="6">
        <f t="shared" si="6"/>
        <v>4.3735999999999997</v>
      </c>
      <c r="R50" s="6">
        <f t="shared" si="11"/>
        <v>82.207014542343885</v>
      </c>
    </row>
    <row r="51" spans="1:18" x14ac:dyDescent="0.25">
      <c r="A51" t="s">
        <v>378</v>
      </c>
      <c r="B51" s="12" t="str">
        <f>VLOOKUP(A51,concorrenti!A:B,2,1)</f>
        <v>GAMS</v>
      </c>
      <c r="C51" s="12">
        <f>VLOOKUP(A51,concorrenti!A:E,5,1)</f>
        <v>0</v>
      </c>
      <c r="D51" s="80" t="s">
        <v>230</v>
      </c>
      <c r="E51" t="s">
        <v>408</v>
      </c>
      <c r="F51">
        <v>1996</v>
      </c>
      <c r="H51" s="89">
        <f t="shared" si="7"/>
        <v>3296.9387755102043</v>
      </c>
      <c r="I51" s="4">
        <f t="shared" si="8"/>
        <v>1.96</v>
      </c>
      <c r="J51">
        <v>6462</v>
      </c>
      <c r="L51">
        <v>40</v>
      </c>
      <c r="M51">
        <f>VLOOKUP(L51,Regolamento!A:B,2,1)</f>
        <v>1</v>
      </c>
      <c r="N51" s="4">
        <f t="shared" si="9"/>
        <v>1.42</v>
      </c>
      <c r="O51" s="4">
        <f t="shared" si="10"/>
        <v>1.54</v>
      </c>
      <c r="P51" s="6">
        <f t="shared" si="6"/>
        <v>2.1867999999999999</v>
      </c>
      <c r="R51" s="6">
        <f t="shared" si="11"/>
        <v>78.498542274052483</v>
      </c>
    </row>
    <row r="52" spans="1:18" x14ac:dyDescent="0.25">
      <c r="A52" t="s">
        <v>394</v>
      </c>
      <c r="B52" s="12" t="str">
        <f>VLOOKUP(A52,concorrenti!A:B,2,1)</f>
        <v>GAMS</v>
      </c>
      <c r="C52" s="12">
        <f>VLOOKUP(A52,concorrenti!A:E,5,1)</f>
        <v>0</v>
      </c>
      <c r="D52" t="s">
        <v>335</v>
      </c>
      <c r="E52" t="s">
        <v>129</v>
      </c>
      <c r="F52">
        <v>1960</v>
      </c>
      <c r="H52" s="89">
        <f t="shared" si="7"/>
        <v>4325</v>
      </c>
      <c r="I52" s="4">
        <f t="shared" si="8"/>
        <v>1.6</v>
      </c>
      <c r="J52">
        <v>6920</v>
      </c>
      <c r="L52">
        <v>41</v>
      </c>
      <c r="M52">
        <f>VLOOKUP(L52,Regolamento!A:B,2,1)</f>
        <v>0.5</v>
      </c>
      <c r="N52" s="4">
        <f t="shared" si="9"/>
        <v>1.42</v>
      </c>
      <c r="O52" s="4">
        <f t="shared" si="10"/>
        <v>1.54</v>
      </c>
      <c r="P52" s="6">
        <f t="shared" si="6"/>
        <v>1.0933999999999999</v>
      </c>
      <c r="R52" s="6">
        <f t="shared" si="11"/>
        <v>102.97619047619048</v>
      </c>
    </row>
    <row r="53" spans="1:18" x14ac:dyDescent="0.25">
      <c r="A53" t="s">
        <v>386</v>
      </c>
      <c r="B53" s="12" t="str">
        <f>VLOOKUP(A53,concorrenti!A:B,2,1)</f>
        <v>GAMS</v>
      </c>
      <c r="C53" s="12">
        <f>VLOOKUP(A53,concorrenti!A:E,5,1)</f>
        <v>0</v>
      </c>
      <c r="D53" t="s">
        <v>144</v>
      </c>
      <c r="E53" t="s">
        <v>33</v>
      </c>
      <c r="F53">
        <v>1960</v>
      </c>
      <c r="H53" s="89">
        <f t="shared" si="7"/>
        <v>4747.5</v>
      </c>
      <c r="I53" s="4">
        <f t="shared" si="8"/>
        <v>1.6</v>
      </c>
      <c r="J53">
        <v>7596</v>
      </c>
      <c r="L53">
        <v>42</v>
      </c>
      <c r="M53">
        <f>VLOOKUP(L53,Regolamento!A:B,2,1)</f>
        <v>0.5</v>
      </c>
      <c r="N53" s="4">
        <f t="shared" si="9"/>
        <v>1.42</v>
      </c>
      <c r="O53" s="4">
        <f t="shared" si="10"/>
        <v>1.54</v>
      </c>
      <c r="P53" s="6">
        <f t="shared" si="6"/>
        <v>1.0933999999999999</v>
      </c>
      <c r="R53" s="6">
        <f t="shared" si="11"/>
        <v>113.03571428571429</v>
      </c>
    </row>
    <row r="54" spans="1:18" x14ac:dyDescent="0.25">
      <c r="A54" t="s">
        <v>402</v>
      </c>
      <c r="B54" s="12" t="str">
        <f>VLOOKUP(A54,concorrenti!A:B,2,1)</f>
        <v>GAMS</v>
      </c>
      <c r="C54" s="12">
        <f>VLOOKUP(A54,concorrenti!A:E,5,1)</f>
        <v>0</v>
      </c>
      <c r="D54" t="s">
        <v>335</v>
      </c>
      <c r="E54" t="s">
        <v>441</v>
      </c>
      <c r="F54">
        <v>1977</v>
      </c>
      <c r="H54" s="89">
        <f t="shared" si="7"/>
        <v>4547.4576271186443</v>
      </c>
      <c r="I54" s="4">
        <f t="shared" si="8"/>
        <v>1.77</v>
      </c>
      <c r="J54">
        <v>8049</v>
      </c>
      <c r="L54">
        <v>43</v>
      </c>
      <c r="M54">
        <f>VLOOKUP(L54,Regolamento!A:B,2,1)</f>
        <v>0.5</v>
      </c>
      <c r="N54" s="4">
        <f t="shared" si="9"/>
        <v>1.42</v>
      </c>
      <c r="O54" s="4">
        <f t="shared" si="10"/>
        <v>1.54</v>
      </c>
      <c r="P54" s="6">
        <f t="shared" si="6"/>
        <v>1.0933999999999999</v>
      </c>
      <c r="R54" s="6">
        <f t="shared" si="11"/>
        <v>108.27280064568201</v>
      </c>
    </row>
    <row r="55" spans="1:18" x14ac:dyDescent="0.25">
      <c r="A55" s="8" t="s">
        <v>86</v>
      </c>
      <c r="B55" s="12" t="str">
        <f>VLOOKUP(A55,concorrenti!A:B,2,1)</f>
        <v>VALTELLINA</v>
      </c>
      <c r="C55" s="12">
        <f>VLOOKUP(A55,concorrenti!A:E,5,1)</f>
        <v>0</v>
      </c>
      <c r="D55" t="s">
        <v>121</v>
      </c>
      <c r="E55" t="s">
        <v>424</v>
      </c>
      <c r="F55">
        <v>1957</v>
      </c>
      <c r="H55" s="89">
        <f t="shared" si="7"/>
        <v>5162.4203821656056</v>
      </c>
      <c r="I55" s="4">
        <f t="shared" si="8"/>
        <v>1.5699999999999998</v>
      </c>
      <c r="J55">
        <v>8105</v>
      </c>
      <c r="L55">
        <v>44</v>
      </c>
      <c r="M55">
        <f>VLOOKUP(L55,Regolamento!A:B,2,1)</f>
        <v>0.5</v>
      </c>
      <c r="N55" s="4">
        <f t="shared" si="9"/>
        <v>1.42</v>
      </c>
      <c r="O55" s="4">
        <f t="shared" si="10"/>
        <v>1.54</v>
      </c>
      <c r="P55" s="6">
        <f t="shared" si="6"/>
        <v>1.0933999999999999</v>
      </c>
      <c r="R55" s="6">
        <f t="shared" si="11"/>
        <v>122.91477100394299</v>
      </c>
    </row>
    <row r="56" spans="1:18" x14ac:dyDescent="0.25">
      <c r="A56" t="s">
        <v>396</v>
      </c>
      <c r="B56" s="12" t="str">
        <f>VLOOKUP(A56,concorrenti!A:B,2,1)</f>
        <v>GAMS</v>
      </c>
      <c r="C56" s="12">
        <f>VLOOKUP(A56,concorrenti!A:E,5,1)</f>
        <v>0</v>
      </c>
      <c r="D56" t="s">
        <v>242</v>
      </c>
      <c r="E56" t="s">
        <v>132</v>
      </c>
      <c r="F56">
        <v>1973</v>
      </c>
      <c r="H56" s="89">
        <f t="shared" si="7"/>
        <v>4736.9942196531792</v>
      </c>
      <c r="I56" s="4">
        <f t="shared" si="8"/>
        <v>1.73</v>
      </c>
      <c r="J56">
        <v>8195</v>
      </c>
      <c r="L56">
        <v>45</v>
      </c>
      <c r="M56">
        <f>VLOOKUP(L56,Regolamento!A:B,2,1)</f>
        <v>0.5</v>
      </c>
      <c r="N56" s="4">
        <f t="shared" si="9"/>
        <v>1.42</v>
      </c>
      <c r="O56" s="4">
        <f t="shared" si="10"/>
        <v>1.54</v>
      </c>
      <c r="P56" s="6">
        <f t="shared" si="6"/>
        <v>1.0933999999999999</v>
      </c>
      <c r="R56" s="6">
        <f t="shared" si="11"/>
        <v>112.78557665840903</v>
      </c>
    </row>
    <row r="57" spans="1:18" x14ac:dyDescent="0.25">
      <c r="A57" t="s">
        <v>387</v>
      </c>
      <c r="B57" s="12" t="str">
        <f>VLOOKUP(A57,concorrenti!A:B,2,1)</f>
        <v>GAMS</v>
      </c>
      <c r="C57" s="12">
        <f>VLOOKUP(A57,concorrenti!A:E,5,1)</f>
        <v>0</v>
      </c>
      <c r="D57" t="s">
        <v>443</v>
      </c>
      <c r="E57" t="s">
        <v>422</v>
      </c>
      <c r="F57">
        <v>1930</v>
      </c>
      <c r="H57" s="89">
        <f t="shared" si="7"/>
        <v>7289.2307692307686</v>
      </c>
      <c r="I57" s="4">
        <f t="shared" si="8"/>
        <v>1.3</v>
      </c>
      <c r="J57">
        <v>9476</v>
      </c>
      <c r="L57">
        <v>46</v>
      </c>
      <c r="M57">
        <f>VLOOKUP(L57,Regolamento!A:B,2,1)</f>
        <v>0.5</v>
      </c>
      <c r="N57" s="4">
        <f t="shared" si="9"/>
        <v>1.42</v>
      </c>
      <c r="O57" s="4">
        <f t="shared" si="10"/>
        <v>1.54</v>
      </c>
      <c r="P57" s="6">
        <f t="shared" si="6"/>
        <v>1.0933999999999999</v>
      </c>
      <c r="R57" s="6">
        <f t="shared" si="11"/>
        <v>173.55311355311355</v>
      </c>
    </row>
    <row r="58" spans="1:18" x14ac:dyDescent="0.25">
      <c r="A58" t="s">
        <v>400</v>
      </c>
      <c r="B58" s="12" t="str">
        <f>VLOOKUP(A58,concorrenti!A:B,2,1)</f>
        <v>GAMS</v>
      </c>
      <c r="C58" s="12">
        <f>VLOOKUP(A58,concorrenti!A:E,5,1)</f>
        <v>0</v>
      </c>
      <c r="D58" t="s">
        <v>121</v>
      </c>
      <c r="E58" t="s">
        <v>438</v>
      </c>
      <c r="F58">
        <v>1961</v>
      </c>
      <c r="H58" s="89">
        <f t="shared" si="7"/>
        <v>6026.7080745341618</v>
      </c>
      <c r="I58" s="4">
        <f t="shared" si="8"/>
        <v>1.6099999999999999</v>
      </c>
      <c r="J58">
        <v>9703</v>
      </c>
      <c r="L58">
        <v>47</v>
      </c>
      <c r="M58">
        <f>VLOOKUP(L58,Regolamento!A:B,2,1)</f>
        <v>0.5</v>
      </c>
      <c r="N58" s="4">
        <f t="shared" si="9"/>
        <v>1.42</v>
      </c>
      <c r="O58" s="4">
        <f t="shared" si="10"/>
        <v>1.54</v>
      </c>
      <c r="P58" s="6">
        <f t="shared" si="6"/>
        <v>1.0933999999999999</v>
      </c>
      <c r="R58" s="6">
        <f t="shared" si="11"/>
        <v>143.49304939367053</v>
      </c>
    </row>
    <row r="59" spans="1:18" x14ac:dyDescent="0.25">
      <c r="A59" t="s">
        <v>377</v>
      </c>
      <c r="B59" s="12" t="str">
        <f>VLOOKUP(A59,concorrenti!A:B,2,1)</f>
        <v>GAMS</v>
      </c>
      <c r="C59" s="12">
        <f>VLOOKUP(A59,concorrenti!A:E,5,1)</f>
        <v>0</v>
      </c>
      <c r="D59" s="80" t="s">
        <v>121</v>
      </c>
      <c r="E59" t="s">
        <v>407</v>
      </c>
      <c r="F59">
        <v>1971</v>
      </c>
      <c r="H59" s="89">
        <f t="shared" si="7"/>
        <v>5990.6432748538009</v>
      </c>
      <c r="I59" s="4">
        <f t="shared" si="8"/>
        <v>1.71</v>
      </c>
      <c r="J59">
        <v>10244</v>
      </c>
      <c r="L59">
        <v>48</v>
      </c>
      <c r="M59">
        <f>VLOOKUP(L59,Regolamento!A:B,2,1)</f>
        <v>0.5</v>
      </c>
      <c r="N59" s="4">
        <f t="shared" si="9"/>
        <v>1.42</v>
      </c>
      <c r="O59" s="4">
        <f t="shared" si="10"/>
        <v>1.54</v>
      </c>
      <c r="P59" s="6">
        <f t="shared" si="6"/>
        <v>1.0933999999999999</v>
      </c>
      <c r="R59" s="6">
        <f t="shared" si="11"/>
        <v>142.63436368699527</v>
      </c>
    </row>
    <row r="60" spans="1:18" x14ac:dyDescent="0.25">
      <c r="A60" t="s">
        <v>401</v>
      </c>
      <c r="B60" s="12" t="str">
        <f>VLOOKUP(A60,concorrenti!A:B,2,1)</f>
        <v>GAMS</v>
      </c>
      <c r="C60" s="12">
        <f>VLOOKUP(A60,concorrenti!A:E,5,1)</f>
        <v>0</v>
      </c>
      <c r="D60" t="s">
        <v>439</v>
      </c>
      <c r="E60" t="s">
        <v>440</v>
      </c>
      <c r="F60">
        <v>1994</v>
      </c>
      <c r="H60" s="89">
        <f t="shared" si="7"/>
        <v>6158.7628865979386</v>
      </c>
      <c r="I60" s="4">
        <f t="shared" si="8"/>
        <v>1.94</v>
      </c>
      <c r="J60">
        <v>11948</v>
      </c>
      <c r="L60">
        <v>49</v>
      </c>
      <c r="M60">
        <f>VLOOKUP(L60,Regolamento!A:B,2,1)</f>
        <v>0.5</v>
      </c>
      <c r="N60" s="4">
        <f t="shared" si="9"/>
        <v>1.42</v>
      </c>
      <c r="O60" s="4">
        <f t="shared" si="10"/>
        <v>1.54</v>
      </c>
      <c r="P60" s="6">
        <f t="shared" si="6"/>
        <v>1.0933999999999999</v>
      </c>
      <c r="R60" s="6">
        <f t="shared" si="11"/>
        <v>146.6372115856652</v>
      </c>
    </row>
    <row r="61" spans="1:18" x14ac:dyDescent="0.25">
      <c r="A61" t="s">
        <v>405</v>
      </c>
      <c r="B61" s="12" t="str">
        <f>VLOOKUP(A61,concorrenti!A:B,2,1)</f>
        <v>GAMS</v>
      </c>
      <c r="C61" s="12">
        <f>VLOOKUP(A61,concorrenti!A:E,5,1)</f>
        <v>0</v>
      </c>
      <c r="D61" t="s">
        <v>121</v>
      </c>
      <c r="E61" t="s">
        <v>442</v>
      </c>
      <c r="F61">
        <v>1997</v>
      </c>
      <c r="H61" s="89">
        <f t="shared" si="7"/>
        <v>6896.9543147208124</v>
      </c>
      <c r="I61" s="4">
        <f t="shared" si="8"/>
        <v>1.97</v>
      </c>
      <c r="J61">
        <v>13587</v>
      </c>
      <c r="L61">
        <v>50</v>
      </c>
      <c r="M61">
        <f>VLOOKUP(L61,Regolamento!A:B,2,1)</f>
        <v>0.5</v>
      </c>
      <c r="N61" s="4">
        <f t="shared" si="9"/>
        <v>1.42</v>
      </c>
      <c r="O61" s="4">
        <f t="shared" si="10"/>
        <v>1.54</v>
      </c>
      <c r="P61" s="6">
        <f t="shared" si="6"/>
        <v>1.0933999999999999</v>
      </c>
      <c r="R61" s="6">
        <f t="shared" si="11"/>
        <v>164.21319796954316</v>
      </c>
    </row>
    <row r="62" spans="1:18" x14ac:dyDescent="0.25">
      <c r="A62" t="s">
        <v>404</v>
      </c>
      <c r="B62" s="12" t="str">
        <f>VLOOKUP(A62,concorrenti!A:B,2,1)</f>
        <v>GAMS</v>
      </c>
      <c r="C62" s="12">
        <f>VLOOKUP(A62,concorrenti!A:E,5,1)</f>
        <v>0</v>
      </c>
      <c r="D62" s="80" t="s">
        <v>230</v>
      </c>
      <c r="E62" t="s">
        <v>442</v>
      </c>
      <c r="F62">
        <v>1997</v>
      </c>
      <c r="H62" s="89">
        <f t="shared" si="7"/>
        <v>7509.1370558375638</v>
      </c>
      <c r="I62" s="4">
        <f t="shared" si="8"/>
        <v>1.97</v>
      </c>
      <c r="J62">
        <v>14793</v>
      </c>
      <c r="L62">
        <v>51</v>
      </c>
      <c r="M62">
        <f>VLOOKUP(L62,Regolamento!A:B,2,1)</f>
        <v>0.5</v>
      </c>
      <c r="N62" s="4">
        <f t="shared" si="9"/>
        <v>1.42</v>
      </c>
      <c r="O62" s="4">
        <f t="shared" si="10"/>
        <v>1.54</v>
      </c>
      <c r="P62" s="6">
        <f t="shared" si="6"/>
        <v>1.0933999999999999</v>
      </c>
      <c r="R62" s="6">
        <f t="shared" si="11"/>
        <v>178.78897751994199</v>
      </c>
    </row>
    <row r="63" spans="1:18" x14ac:dyDescent="0.25">
      <c r="A63" t="s">
        <v>392</v>
      </c>
      <c r="B63" s="12" t="str">
        <f>VLOOKUP(A63,concorrenti!A:B,2,1)</f>
        <v>GAMS</v>
      </c>
      <c r="C63" s="12">
        <f>VLOOKUP(A63,concorrenti!A:E,5,1)</f>
        <v>0</v>
      </c>
      <c r="D63" t="s">
        <v>237</v>
      </c>
      <c r="E63" t="s">
        <v>429</v>
      </c>
      <c r="F63">
        <v>1994</v>
      </c>
      <c r="H63" s="89">
        <f t="shared" si="7"/>
        <v>8444.8453608247419</v>
      </c>
      <c r="I63" s="4">
        <f t="shared" si="8"/>
        <v>1.94</v>
      </c>
      <c r="J63">
        <v>16383</v>
      </c>
      <c r="L63">
        <v>52</v>
      </c>
      <c r="M63">
        <f>VLOOKUP(L63,Regolamento!A:B,2,1)</f>
        <v>0.5</v>
      </c>
      <c r="N63" s="4">
        <f t="shared" si="9"/>
        <v>1.42</v>
      </c>
      <c r="O63" s="4">
        <f t="shared" si="10"/>
        <v>1.54</v>
      </c>
      <c r="P63" s="6">
        <f t="shared" si="6"/>
        <v>1.0933999999999999</v>
      </c>
      <c r="R63" s="6">
        <f t="shared" si="11"/>
        <v>201.06774668630337</v>
      </c>
    </row>
    <row r="64" spans="1:18" x14ac:dyDescent="0.25">
      <c r="A64" t="s">
        <v>406</v>
      </c>
      <c r="B64" s="12" t="str">
        <f>VLOOKUP(A64,concorrenti!A:B,2,1)</f>
        <v>GAMS</v>
      </c>
      <c r="C64" s="12">
        <f>VLOOKUP(A64,concorrenti!A:E,5,1)</f>
        <v>0</v>
      </c>
      <c r="D64" s="80" t="s">
        <v>232</v>
      </c>
      <c r="E64" t="s">
        <v>154</v>
      </c>
      <c r="F64">
        <v>1972</v>
      </c>
      <c r="H64" s="89">
        <f t="shared" si="7"/>
        <v>9726.7441860465115</v>
      </c>
      <c r="I64" s="4">
        <f t="shared" si="8"/>
        <v>1.72</v>
      </c>
      <c r="J64">
        <v>16730</v>
      </c>
      <c r="L64">
        <v>53</v>
      </c>
      <c r="M64">
        <f>VLOOKUP(L64,Regolamento!A:B,2,1)</f>
        <v>0.5</v>
      </c>
      <c r="N64" s="4">
        <f t="shared" si="9"/>
        <v>1.42</v>
      </c>
      <c r="O64" s="4">
        <f t="shared" si="10"/>
        <v>1.54</v>
      </c>
      <c r="P64" s="6">
        <f t="shared" si="6"/>
        <v>1.0933999999999999</v>
      </c>
      <c r="R64" s="6">
        <f t="shared" si="11"/>
        <v>231.58914728682171</v>
      </c>
    </row>
    <row r="65" spans="1:18" x14ac:dyDescent="0.25">
      <c r="A65" s="8" t="s">
        <v>212</v>
      </c>
      <c r="B65" s="12" t="str">
        <f>VLOOKUP(A65,concorrenti!A:B,2,1)</f>
        <v>CAVEM</v>
      </c>
      <c r="C65" s="12">
        <f>VLOOKUP(A65,concorrenti!A:E,5,1)</f>
        <v>0</v>
      </c>
      <c r="D65" t="s">
        <v>235</v>
      </c>
      <c r="F65">
        <v>2001</v>
      </c>
      <c r="H65" s="89">
        <f t="shared" si="7"/>
        <v>9251.7412935323391</v>
      </c>
      <c r="I65" s="4">
        <v>2.0099999999999998</v>
      </c>
      <c r="J65">
        <v>18596</v>
      </c>
      <c r="L65">
        <v>54</v>
      </c>
      <c r="M65">
        <f>VLOOKUP(L65,Regolamento!A:B,2,1)</f>
        <v>0.5</v>
      </c>
      <c r="N65" s="4">
        <f t="shared" si="9"/>
        <v>1.42</v>
      </c>
      <c r="O65" s="4">
        <f t="shared" si="10"/>
        <v>1.54</v>
      </c>
      <c r="P65" s="6">
        <f t="shared" si="6"/>
        <v>1.0933999999999999</v>
      </c>
      <c r="R65" s="6">
        <f t="shared" si="11"/>
        <v>220.27955460791284</v>
      </c>
    </row>
    <row r="67" spans="1:18" x14ac:dyDescent="0.25">
      <c r="P67" s="90">
        <f>SUM(P12:P66)</f>
        <v>1852.2195999999994</v>
      </c>
    </row>
    <row r="68" spans="1:18" x14ac:dyDescent="0.25">
      <c r="P68" s="10">
        <f>+P67-Generale!J3</f>
        <v>-1234.9808361000055</v>
      </c>
    </row>
  </sheetData>
  <sheetProtection algorithmName="SHA-512" hashValue="NTysbx2VdmO4OSN9yuJErjOeDI7ISfkKjrt8KMhESfGH0tG6etQSsNmc3TD/iSh9u8Tsn9OSg2qnaUafP//Nxw==" saltValue="WTCsma50OV7PWo2iYiveTg==" spinCount="100000" sheet="1" objects="1" scenarios="1"/>
  <sortState xmlns:xlrd2="http://schemas.microsoft.com/office/spreadsheetml/2017/richdata2" ref="A12:J65">
    <sortCondition ref="J12:J65"/>
  </sortState>
  <mergeCells count="3">
    <mergeCell ref="H1:P1"/>
    <mergeCell ref="H8:J8"/>
    <mergeCell ref="N8:O8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55B2F-1BA6-4784-87A0-43D0EF5808AC}">
  <sheetPr>
    <tabColor rgb="FF92D050"/>
  </sheetPr>
  <dimension ref="A1:V37"/>
  <sheetViews>
    <sheetView workbookViewId="0">
      <selection activeCell="T8" sqref="T8:T10"/>
    </sheetView>
  </sheetViews>
  <sheetFormatPr defaultRowHeight="15" x14ac:dyDescent="0.25"/>
  <cols>
    <col min="1" max="1" width="23.140625" bestFit="1" customWidth="1"/>
    <col min="2" max="2" width="13" bestFit="1" customWidth="1"/>
    <col min="3" max="3" width="9.140625" bestFit="1" customWidth="1"/>
    <col min="4" max="4" width="13.5703125" bestFit="1" customWidth="1"/>
    <col min="5" max="5" width="13.42578125" bestFit="1" customWidth="1"/>
    <col min="6" max="6" width="5.7109375" bestFit="1" customWidth="1"/>
    <col min="7" max="7" width="2.42578125" customWidth="1"/>
    <col min="8" max="8" width="9.140625" bestFit="1" customWidth="1"/>
    <col min="9" max="9" width="6" style="4" bestFit="1" customWidth="1"/>
    <col min="10" max="10" width="11.140625" style="4" bestFit="1" customWidth="1"/>
    <col min="11" max="11" width="3" customWidth="1"/>
    <col min="12" max="13" width="5.7109375" bestFit="1" customWidth="1"/>
    <col min="14" max="14" width="6.140625" bestFit="1" customWidth="1"/>
    <col min="15" max="15" width="8.140625" bestFit="1" customWidth="1"/>
    <col min="16" max="16" width="9.5703125" bestFit="1" customWidth="1"/>
    <col min="17" max="17" width="3.42578125" customWidth="1"/>
    <col min="18" max="18" width="9" style="6"/>
    <col min="19" max="19" width="5.42578125" customWidth="1"/>
    <col min="20" max="20" width="18.140625" bestFit="1" customWidth="1"/>
    <col min="21" max="21" width="10.5703125" style="4" bestFit="1" customWidth="1"/>
    <col min="22" max="22" width="2.85546875" bestFit="1" customWidth="1"/>
  </cols>
  <sheetData>
    <row r="1" spans="1:22" ht="15.6" x14ac:dyDescent="0.25">
      <c r="A1" t="s">
        <v>47</v>
      </c>
      <c r="H1" s="141" t="s">
        <v>105</v>
      </c>
      <c r="I1" s="141"/>
      <c r="J1" s="141"/>
      <c r="K1" s="141"/>
      <c r="L1" s="141"/>
      <c r="M1" s="141"/>
      <c r="N1" s="141"/>
      <c r="O1" s="141"/>
      <c r="P1" s="141"/>
      <c r="T1" t="s">
        <v>175</v>
      </c>
      <c r="U1" s="4">
        <v>341.25</v>
      </c>
      <c r="V1">
        <v>15</v>
      </c>
    </row>
    <row r="2" spans="1:22" ht="14.25" x14ac:dyDescent="0.25">
      <c r="A2" t="s">
        <v>48</v>
      </c>
      <c r="E2" s="35" t="s">
        <v>107</v>
      </c>
      <c r="T2" t="s">
        <v>98</v>
      </c>
      <c r="U2" s="4">
        <v>325.94</v>
      </c>
      <c r="V2">
        <v>12</v>
      </c>
    </row>
    <row r="3" spans="1:22" ht="14.25" x14ac:dyDescent="0.25">
      <c r="A3" t="s">
        <v>65</v>
      </c>
      <c r="E3" s="35" t="s">
        <v>106</v>
      </c>
      <c r="T3" t="s">
        <v>66</v>
      </c>
      <c r="U3" s="4">
        <v>210</v>
      </c>
      <c r="V3">
        <v>10</v>
      </c>
    </row>
    <row r="4" spans="1:22" ht="14.25" x14ac:dyDescent="0.25">
      <c r="A4" t="s">
        <v>52</v>
      </c>
      <c r="E4" s="1" t="s">
        <v>345</v>
      </c>
      <c r="T4" t="s">
        <v>172</v>
      </c>
      <c r="U4" s="4">
        <v>140</v>
      </c>
      <c r="V4">
        <v>8</v>
      </c>
    </row>
    <row r="5" spans="1:22" ht="14.25" x14ac:dyDescent="0.25">
      <c r="A5" t="s">
        <v>50</v>
      </c>
      <c r="E5" s="1">
        <v>75</v>
      </c>
      <c r="T5" t="s">
        <v>99</v>
      </c>
      <c r="U5" s="4">
        <v>109.38</v>
      </c>
      <c r="V5">
        <v>7</v>
      </c>
    </row>
    <row r="6" spans="1:22" ht="14.25" x14ac:dyDescent="0.25">
      <c r="A6" t="s">
        <v>51</v>
      </c>
      <c r="E6" s="1">
        <v>25</v>
      </c>
      <c r="T6" t="s">
        <v>68</v>
      </c>
      <c r="U6" s="4">
        <v>94.06</v>
      </c>
      <c r="V6">
        <v>6</v>
      </c>
    </row>
    <row r="7" spans="1:22" ht="14.25" x14ac:dyDescent="0.25">
      <c r="D7" s="1"/>
      <c r="T7" t="s">
        <v>100</v>
      </c>
      <c r="U7" s="4">
        <v>45.94</v>
      </c>
      <c r="V7">
        <v>5</v>
      </c>
    </row>
    <row r="8" spans="1:22" x14ac:dyDescent="0.25">
      <c r="A8" s="36" t="s">
        <v>44</v>
      </c>
      <c r="B8" s="96" t="s">
        <v>483</v>
      </c>
      <c r="C8" s="74" t="s">
        <v>46</v>
      </c>
      <c r="D8" s="18" t="s">
        <v>55</v>
      </c>
      <c r="E8" s="18" t="s">
        <v>56</v>
      </c>
      <c r="F8" s="19" t="s">
        <v>57</v>
      </c>
      <c r="H8" s="142" t="s">
        <v>53</v>
      </c>
      <c r="I8" s="140"/>
      <c r="J8" s="143"/>
      <c r="K8" s="2"/>
      <c r="L8" s="27" t="s">
        <v>54</v>
      </c>
      <c r="M8" s="30"/>
      <c r="N8" s="140" t="s">
        <v>8</v>
      </c>
      <c r="O8" s="140"/>
      <c r="P8" s="31"/>
    </row>
    <row r="9" spans="1:22" ht="14.25" x14ac:dyDescent="0.25">
      <c r="H9" s="20" t="s">
        <v>36</v>
      </c>
      <c r="I9" s="21" t="s">
        <v>38</v>
      </c>
      <c r="J9" s="22" t="s">
        <v>0</v>
      </c>
      <c r="K9" s="7"/>
      <c r="L9" s="28"/>
      <c r="M9" s="32" t="s">
        <v>0</v>
      </c>
      <c r="N9" s="21" t="s">
        <v>9</v>
      </c>
      <c r="O9" s="21" t="s">
        <v>5</v>
      </c>
      <c r="P9" s="33" t="s">
        <v>11</v>
      </c>
    </row>
    <row r="10" spans="1:22" ht="14.25" x14ac:dyDescent="0.25">
      <c r="H10" s="23" t="s">
        <v>37</v>
      </c>
      <c r="I10" s="24"/>
      <c r="J10" s="84" t="s">
        <v>39</v>
      </c>
      <c r="K10" s="6"/>
      <c r="L10" s="29"/>
      <c r="M10" s="34"/>
      <c r="N10" s="24"/>
      <c r="O10" s="24"/>
      <c r="P10" s="25"/>
    </row>
    <row r="11" spans="1:22" ht="14.25" x14ac:dyDescent="0.25">
      <c r="R11" s="7" t="s">
        <v>169</v>
      </c>
    </row>
    <row r="12" spans="1:22" x14ac:dyDescent="0.25">
      <c r="A12" s="8" t="s">
        <v>190</v>
      </c>
      <c r="B12" s="12" t="str">
        <f>VLOOKUP(A12,concorrenti!A:B,2,1)</f>
        <v>CASTELLOTTI</v>
      </c>
      <c r="C12" s="12" t="str">
        <f>VLOOKUP(A12,concorrenti!A:E,5,1)</f>
        <v>X</v>
      </c>
      <c r="D12" s="81" t="s">
        <v>121</v>
      </c>
      <c r="E12" s="81" t="s">
        <v>371</v>
      </c>
      <c r="F12" s="81">
        <v>1980</v>
      </c>
      <c r="H12" s="85">
        <v>248.00000000000003</v>
      </c>
      <c r="I12" s="4">
        <f t="shared" ref="I12:I20" si="0">IF(C12&lt;&gt;0,((1+RIGHT(F12,2)/100)-0.1),(1+RIGHT(F12,2)/100))</f>
        <v>1.7</v>
      </c>
      <c r="J12" s="4">
        <f t="shared" ref="J12:J33" si="1">+H12*I12</f>
        <v>421.6</v>
      </c>
      <c r="L12">
        <v>1</v>
      </c>
      <c r="M12">
        <f>VLOOKUP(L12,Regolamento!A:B,2,1)</f>
        <v>50</v>
      </c>
      <c r="N12" s="4">
        <f t="shared" ref="N12:N33" si="2">1+E$5/100</f>
        <v>1.75</v>
      </c>
      <c r="O12" s="4">
        <f t="shared" ref="O12:O33" si="3">1+E$6/100</f>
        <v>1.25</v>
      </c>
      <c r="P12" s="6">
        <f t="shared" ref="P12:P33" si="4">IF(H12&lt;&gt;0,+M12*N12*O12,0)</f>
        <v>109.375</v>
      </c>
      <c r="R12" s="6">
        <f t="shared" ref="R12:R33" si="5">+H12/E$5</f>
        <v>3.3066666666666671</v>
      </c>
      <c r="T12" s="63"/>
      <c r="U12" s="10"/>
    </row>
    <row r="13" spans="1:22" x14ac:dyDescent="0.25">
      <c r="A13" s="9" t="s">
        <v>15</v>
      </c>
      <c r="B13" s="12" t="str">
        <f>VLOOKUP(A13,concorrenti!A:B,2,1)</f>
        <v>OROBICO</v>
      </c>
      <c r="C13" s="12">
        <f>VLOOKUP(A13,concorrenti!A:E,5,1)</f>
        <v>0</v>
      </c>
      <c r="D13" s="81" t="s">
        <v>236</v>
      </c>
      <c r="E13" s="81" t="s">
        <v>368</v>
      </c>
      <c r="F13" s="81">
        <v>1954</v>
      </c>
      <c r="H13" s="85">
        <v>324</v>
      </c>
      <c r="I13" s="4">
        <f t="shared" si="0"/>
        <v>1.54</v>
      </c>
      <c r="J13" s="4">
        <f t="shared" si="1"/>
        <v>498.96000000000004</v>
      </c>
      <c r="L13">
        <v>2</v>
      </c>
      <c r="M13">
        <f>VLOOKUP(L13,Regolamento!A:B,2,1)</f>
        <v>45</v>
      </c>
      <c r="N13" s="4">
        <f t="shared" si="2"/>
        <v>1.75</v>
      </c>
      <c r="O13" s="4">
        <f t="shared" si="3"/>
        <v>1.25</v>
      </c>
      <c r="P13" s="6">
        <f t="shared" si="4"/>
        <v>98.4375</v>
      </c>
      <c r="R13" s="6">
        <f t="shared" si="5"/>
        <v>4.32</v>
      </c>
      <c r="T13" s="63"/>
      <c r="U13" s="10"/>
    </row>
    <row r="14" spans="1:22" x14ac:dyDescent="0.25">
      <c r="A14" s="8" t="s">
        <v>217</v>
      </c>
      <c r="B14" s="12" t="str">
        <f>VLOOKUP(A14,concorrenti!A:B,2,1)</f>
        <v>OROBICO</v>
      </c>
      <c r="C14" s="12" t="str">
        <f>VLOOKUP(A14,concorrenti!A:E,5,1)</f>
        <v>X</v>
      </c>
      <c r="D14" s="81" t="s">
        <v>232</v>
      </c>
      <c r="E14" s="81" t="s">
        <v>359</v>
      </c>
      <c r="F14" s="81">
        <v>1972</v>
      </c>
      <c r="H14" s="85">
        <v>371</v>
      </c>
      <c r="I14" s="4">
        <f t="shared" si="0"/>
        <v>1.6199999999999999</v>
      </c>
      <c r="J14" s="4">
        <f t="shared" si="1"/>
        <v>601.02</v>
      </c>
      <c r="L14">
        <v>3</v>
      </c>
      <c r="M14">
        <f>VLOOKUP(L14,Regolamento!A:B,2,1)</f>
        <v>41</v>
      </c>
      <c r="N14" s="4">
        <f t="shared" si="2"/>
        <v>1.75</v>
      </c>
      <c r="O14" s="4">
        <f t="shared" si="3"/>
        <v>1.25</v>
      </c>
      <c r="P14" s="6">
        <f t="shared" si="4"/>
        <v>89.6875</v>
      </c>
      <c r="R14" s="6">
        <f t="shared" si="5"/>
        <v>4.9466666666666663</v>
      </c>
      <c r="T14" s="63"/>
      <c r="U14" s="10"/>
    </row>
    <row r="15" spans="1:22" x14ac:dyDescent="0.25">
      <c r="A15" s="8" t="s">
        <v>346</v>
      </c>
      <c r="B15" s="12" t="str">
        <f>VLOOKUP(A15,concorrenti!A:B,2,1)</f>
        <v>CMAE</v>
      </c>
      <c r="C15" s="12">
        <f>VLOOKUP(A15,concorrenti!A:E,5,1)</f>
        <v>0</v>
      </c>
      <c r="D15" s="81" t="s">
        <v>234</v>
      </c>
      <c r="E15" s="81" t="s">
        <v>125</v>
      </c>
      <c r="F15" s="81">
        <v>1977</v>
      </c>
      <c r="H15" s="85">
        <v>391</v>
      </c>
      <c r="I15" s="4">
        <f t="shared" si="0"/>
        <v>1.77</v>
      </c>
      <c r="J15" s="4">
        <f t="shared" si="1"/>
        <v>692.07</v>
      </c>
      <c r="L15">
        <v>4</v>
      </c>
      <c r="M15">
        <f>VLOOKUP(L15,Regolamento!A:B,2,1)</f>
        <v>38</v>
      </c>
      <c r="N15" s="4">
        <f t="shared" si="2"/>
        <v>1.75</v>
      </c>
      <c r="O15" s="4">
        <f t="shared" si="3"/>
        <v>1.25</v>
      </c>
      <c r="P15" s="6">
        <f t="shared" si="4"/>
        <v>83.125</v>
      </c>
      <c r="R15" s="6">
        <f t="shared" si="5"/>
        <v>5.2133333333333329</v>
      </c>
      <c r="T15" s="63"/>
      <c r="U15" s="10"/>
    </row>
    <row r="16" spans="1:22" x14ac:dyDescent="0.25">
      <c r="A16" s="8" t="s">
        <v>226</v>
      </c>
      <c r="B16" s="12" t="str">
        <f>VLOOKUP(A16,concorrenti!A:B,2,1)</f>
        <v>VCC COMO</v>
      </c>
      <c r="C16" s="12" t="str">
        <f>VLOOKUP(A16,concorrenti!A:E,5,1)</f>
        <v>X</v>
      </c>
      <c r="D16" s="81" t="s">
        <v>234</v>
      </c>
      <c r="E16" s="81" t="s">
        <v>372</v>
      </c>
      <c r="F16" s="81">
        <v>1990</v>
      </c>
      <c r="H16" s="85">
        <v>458.00000000000006</v>
      </c>
      <c r="I16" s="4">
        <f t="shared" si="0"/>
        <v>1.7999999999999998</v>
      </c>
      <c r="J16" s="4">
        <f t="shared" si="1"/>
        <v>824.4</v>
      </c>
      <c r="L16">
        <v>5</v>
      </c>
      <c r="M16">
        <f>VLOOKUP(L16,Regolamento!A:B,2,1)</f>
        <v>36</v>
      </c>
      <c r="N16" s="4">
        <f t="shared" si="2"/>
        <v>1.75</v>
      </c>
      <c r="O16" s="4">
        <f t="shared" si="3"/>
        <v>1.25</v>
      </c>
      <c r="P16" s="6">
        <f t="shared" si="4"/>
        <v>78.75</v>
      </c>
      <c r="R16" s="6">
        <f t="shared" si="5"/>
        <v>6.1066666666666674</v>
      </c>
      <c r="T16" s="63"/>
      <c r="U16" s="10"/>
    </row>
    <row r="17" spans="1:21" x14ac:dyDescent="0.25">
      <c r="A17" s="8" t="s">
        <v>17</v>
      </c>
      <c r="B17" s="12" t="str">
        <f>VLOOKUP(A17,concorrenti!A:B,2,1)</f>
        <v>VAMS</v>
      </c>
      <c r="C17" s="12">
        <f>VLOOKUP(A17,concorrenti!A:E,5,1)</f>
        <v>0</v>
      </c>
      <c r="D17" s="81" t="s">
        <v>236</v>
      </c>
      <c r="E17" s="81" t="s">
        <v>364</v>
      </c>
      <c r="F17" s="81">
        <v>1962</v>
      </c>
      <c r="H17" s="85">
        <v>536</v>
      </c>
      <c r="I17" s="4">
        <f t="shared" si="0"/>
        <v>1.62</v>
      </c>
      <c r="J17" s="4">
        <f t="shared" si="1"/>
        <v>868.32</v>
      </c>
      <c r="L17">
        <v>6</v>
      </c>
      <c r="M17">
        <f>VLOOKUP(L17,Regolamento!A:B,2,1)</f>
        <v>35</v>
      </c>
      <c r="N17" s="4">
        <f t="shared" si="2"/>
        <v>1.75</v>
      </c>
      <c r="O17" s="4">
        <f t="shared" si="3"/>
        <v>1.25</v>
      </c>
      <c r="P17" s="6">
        <f t="shared" si="4"/>
        <v>76.5625</v>
      </c>
      <c r="R17" s="6">
        <f t="shared" si="5"/>
        <v>7.1466666666666665</v>
      </c>
      <c r="T17" s="63"/>
      <c r="U17" s="10"/>
    </row>
    <row r="18" spans="1:21" x14ac:dyDescent="0.25">
      <c r="A18" s="8" t="s">
        <v>224</v>
      </c>
      <c r="B18" s="12" t="str">
        <f>VLOOKUP(A18,concorrenti!A:B,2,1)</f>
        <v>VCC COMO</v>
      </c>
      <c r="C18" s="12">
        <f>VLOOKUP(A18,concorrenti!A:E,5,1)</f>
        <v>0</v>
      </c>
      <c r="D18" s="81" t="s">
        <v>244</v>
      </c>
      <c r="E18" s="81" t="s">
        <v>357</v>
      </c>
      <c r="F18" s="81">
        <v>1963</v>
      </c>
      <c r="H18" s="85">
        <v>538.00000000000011</v>
      </c>
      <c r="I18" s="4">
        <f t="shared" si="0"/>
        <v>1.63</v>
      </c>
      <c r="J18" s="4">
        <f t="shared" si="1"/>
        <v>876.94000000000017</v>
      </c>
      <c r="L18">
        <v>7</v>
      </c>
      <c r="M18">
        <f>VLOOKUP(L18,Regolamento!A:B,2,1)</f>
        <v>34</v>
      </c>
      <c r="N18" s="4">
        <f t="shared" si="2"/>
        <v>1.75</v>
      </c>
      <c r="O18" s="4">
        <f t="shared" si="3"/>
        <v>1.25</v>
      </c>
      <c r="P18" s="6">
        <f t="shared" si="4"/>
        <v>74.375</v>
      </c>
      <c r="R18" s="6">
        <f t="shared" si="5"/>
        <v>7.1733333333333347</v>
      </c>
      <c r="T18" s="63"/>
      <c r="U18" s="10"/>
    </row>
    <row r="19" spans="1:21" x14ac:dyDescent="0.25">
      <c r="A19" s="8" t="s">
        <v>73</v>
      </c>
      <c r="B19" s="12" t="str">
        <f>VLOOKUP(A19,concorrenti!A:B,2,1)</f>
        <v>VAMS</v>
      </c>
      <c r="C19" s="12">
        <f>VLOOKUP(A19,concorrenti!A:E,5,1)</f>
        <v>0</v>
      </c>
      <c r="D19" s="81" t="s">
        <v>121</v>
      </c>
      <c r="E19" s="81" t="s">
        <v>123</v>
      </c>
      <c r="F19" s="81">
        <v>1937</v>
      </c>
      <c r="H19" s="85">
        <v>1124</v>
      </c>
      <c r="I19" s="4">
        <f t="shared" si="0"/>
        <v>1.37</v>
      </c>
      <c r="J19" s="4">
        <f t="shared" si="1"/>
        <v>1539.88</v>
      </c>
      <c r="L19">
        <v>8</v>
      </c>
      <c r="M19">
        <f>VLOOKUP(L19,Regolamento!A:B,2,1)</f>
        <v>33</v>
      </c>
      <c r="N19" s="4">
        <f t="shared" si="2"/>
        <v>1.75</v>
      </c>
      <c r="O19" s="4">
        <f t="shared" si="3"/>
        <v>1.25</v>
      </c>
      <c r="P19" s="6">
        <f t="shared" si="4"/>
        <v>72.1875</v>
      </c>
      <c r="R19" s="6">
        <f t="shared" si="5"/>
        <v>14.986666666666666</v>
      </c>
      <c r="T19" s="63"/>
      <c r="U19" s="10"/>
    </row>
    <row r="20" spans="1:21" x14ac:dyDescent="0.25">
      <c r="A20" s="8" t="s">
        <v>31</v>
      </c>
      <c r="B20" s="12" t="str">
        <f>VLOOKUP(A20,concorrenti!A:B,2,1)</f>
        <v>OROBICO</v>
      </c>
      <c r="C20" s="12">
        <f>VLOOKUP(A20,concorrenti!A:E,5,1)</f>
        <v>0</v>
      </c>
      <c r="D20" s="81" t="s">
        <v>121</v>
      </c>
      <c r="E20" s="82" t="s">
        <v>153</v>
      </c>
      <c r="F20" s="81">
        <v>1975</v>
      </c>
      <c r="H20" s="85">
        <v>1127.6228571428571</v>
      </c>
      <c r="I20" s="4">
        <f t="shared" si="0"/>
        <v>1.75</v>
      </c>
      <c r="J20" s="4">
        <f t="shared" si="1"/>
        <v>1973.34</v>
      </c>
      <c r="L20">
        <v>9</v>
      </c>
      <c r="M20">
        <f>VLOOKUP(L20,Regolamento!A:B,2,1)</f>
        <v>32</v>
      </c>
      <c r="N20" s="4">
        <f t="shared" si="2"/>
        <v>1.75</v>
      </c>
      <c r="O20" s="4">
        <f t="shared" si="3"/>
        <v>1.25</v>
      </c>
      <c r="P20" s="6">
        <f t="shared" si="4"/>
        <v>70</v>
      </c>
      <c r="R20" s="6">
        <f t="shared" si="5"/>
        <v>15.034971428571428</v>
      </c>
      <c r="T20" s="63"/>
      <c r="U20" s="10"/>
    </row>
    <row r="21" spans="1:21" x14ac:dyDescent="0.25">
      <c r="A21" s="8" t="s">
        <v>355</v>
      </c>
      <c r="B21" s="12" t="str">
        <f>VLOOKUP(A21,concorrenti!A:B,2,1)</f>
        <v>VCC COMO</v>
      </c>
      <c r="C21" s="12">
        <f>VLOOKUP(A21,concorrenti!A:E,5,1)</f>
        <v>0</v>
      </c>
      <c r="D21" s="81" t="s">
        <v>365</v>
      </c>
      <c r="E21" s="81" t="s">
        <v>366</v>
      </c>
      <c r="F21" s="81">
        <v>2000</v>
      </c>
      <c r="H21" s="85">
        <v>1416</v>
      </c>
      <c r="I21" s="4">
        <v>2</v>
      </c>
      <c r="J21" s="4">
        <f t="shared" si="1"/>
        <v>2832</v>
      </c>
      <c r="L21">
        <v>11</v>
      </c>
      <c r="M21">
        <f>VLOOKUP(L21,Regolamento!A:B,2,1)</f>
        <v>30</v>
      </c>
      <c r="N21" s="4">
        <f t="shared" si="2"/>
        <v>1.75</v>
      </c>
      <c r="O21" s="4">
        <f t="shared" si="3"/>
        <v>1.25</v>
      </c>
      <c r="P21" s="6">
        <f t="shared" si="4"/>
        <v>65.625</v>
      </c>
      <c r="R21" s="6">
        <f t="shared" si="5"/>
        <v>18.88</v>
      </c>
      <c r="T21" s="63"/>
      <c r="U21" s="10"/>
    </row>
    <row r="22" spans="1:21" x14ac:dyDescent="0.25">
      <c r="A22" s="8" t="s">
        <v>16</v>
      </c>
      <c r="B22" s="12" t="str">
        <f>VLOOKUP(A22,concorrenti!A:B,2,1)</f>
        <v>OROBICO</v>
      </c>
      <c r="C22" s="12">
        <f>VLOOKUP(A22,concorrenti!A:E,5,1)</f>
        <v>0</v>
      </c>
      <c r="D22" s="81" t="s">
        <v>232</v>
      </c>
      <c r="E22" s="81" t="s">
        <v>367</v>
      </c>
      <c r="F22" s="81">
        <v>1961</v>
      </c>
      <c r="H22" s="85">
        <v>1421</v>
      </c>
      <c r="I22" s="4">
        <f>IF(C22&lt;&gt;0,((1+RIGHT(F22,2)/100)-0.1),(1+RIGHT(F22,2)/100))</f>
        <v>1.6099999999999999</v>
      </c>
      <c r="J22" s="4">
        <f t="shared" si="1"/>
        <v>2287.81</v>
      </c>
      <c r="L22">
        <v>10</v>
      </c>
      <c r="M22">
        <f>VLOOKUP(L22,Regolamento!A:B,2,1)</f>
        <v>31</v>
      </c>
      <c r="N22" s="4">
        <f t="shared" si="2"/>
        <v>1.75</v>
      </c>
      <c r="O22" s="4">
        <f t="shared" si="3"/>
        <v>1.25</v>
      </c>
      <c r="P22" s="6">
        <f t="shared" si="4"/>
        <v>67.8125</v>
      </c>
      <c r="R22" s="6">
        <f t="shared" si="5"/>
        <v>18.946666666666665</v>
      </c>
      <c r="T22" s="63"/>
      <c r="U22" s="10"/>
    </row>
    <row r="23" spans="1:21" x14ac:dyDescent="0.25">
      <c r="A23" s="8" t="s">
        <v>353</v>
      </c>
      <c r="B23" s="12" t="str">
        <f>VLOOKUP(A23,concorrenti!A:B,2,1)</f>
        <v>VCC COMO</v>
      </c>
      <c r="C23" s="12">
        <f>VLOOKUP(A23,concorrenti!A:E,5,1)</f>
        <v>0</v>
      </c>
      <c r="D23" s="81" t="s">
        <v>241</v>
      </c>
      <c r="E23" s="81" t="s">
        <v>356</v>
      </c>
      <c r="F23" s="81">
        <v>2000</v>
      </c>
      <c r="H23" s="85">
        <v>1517</v>
      </c>
      <c r="I23" s="4">
        <v>2</v>
      </c>
      <c r="J23" s="4">
        <f t="shared" si="1"/>
        <v>3034</v>
      </c>
      <c r="L23">
        <v>12</v>
      </c>
      <c r="M23">
        <f>VLOOKUP(L23,Regolamento!A:B,2,1)</f>
        <v>29</v>
      </c>
      <c r="N23" s="4">
        <f t="shared" si="2"/>
        <v>1.75</v>
      </c>
      <c r="O23" s="4">
        <f t="shared" si="3"/>
        <v>1.25</v>
      </c>
      <c r="P23" s="6">
        <f t="shared" si="4"/>
        <v>63.4375</v>
      </c>
      <c r="R23" s="6">
        <f t="shared" si="5"/>
        <v>20.226666666666667</v>
      </c>
      <c r="T23" s="63"/>
      <c r="U23" s="10"/>
    </row>
    <row r="24" spans="1:21" x14ac:dyDescent="0.25">
      <c r="A24" s="8" t="s">
        <v>18</v>
      </c>
      <c r="B24" s="12" t="str">
        <f>VLOOKUP(A24,concorrenti!A:B,2,1)</f>
        <v>VAMS</v>
      </c>
      <c r="C24" s="12">
        <f>VLOOKUP(A24,concorrenti!A:E,5,1)</f>
        <v>0</v>
      </c>
      <c r="D24" s="81" t="s">
        <v>232</v>
      </c>
      <c r="E24" s="81" t="s">
        <v>360</v>
      </c>
      <c r="F24" s="81">
        <v>1993</v>
      </c>
      <c r="H24" s="85">
        <v>3011.9999999999995</v>
      </c>
      <c r="I24" s="4">
        <f t="shared" ref="I24:I29" si="6">IF(C24&lt;&gt;0,((1+RIGHT(F24,2)/100)-0.1),(1+RIGHT(F24,2)/100))</f>
        <v>1.9300000000000002</v>
      </c>
      <c r="J24" s="4">
        <f t="shared" si="1"/>
        <v>5813.16</v>
      </c>
      <c r="L24">
        <v>13</v>
      </c>
      <c r="M24">
        <f>VLOOKUP(L24,Regolamento!A:B,2,1)</f>
        <v>28</v>
      </c>
      <c r="N24" s="4">
        <f t="shared" si="2"/>
        <v>1.75</v>
      </c>
      <c r="O24" s="4">
        <f t="shared" si="3"/>
        <v>1.25</v>
      </c>
      <c r="P24" s="6">
        <f t="shared" si="4"/>
        <v>61.25</v>
      </c>
      <c r="R24" s="6">
        <f t="shared" si="5"/>
        <v>40.159999999999997</v>
      </c>
      <c r="T24" s="63"/>
      <c r="U24" s="10"/>
    </row>
    <row r="25" spans="1:21" x14ac:dyDescent="0.25">
      <c r="A25" s="8" t="s">
        <v>350</v>
      </c>
      <c r="B25" s="12" t="str">
        <f>VLOOKUP(A25,concorrenti!A:B,2,1)</f>
        <v>VCC COMO</v>
      </c>
      <c r="C25" s="12">
        <f>VLOOKUP(A25,concorrenti!A:E,5,1)</f>
        <v>0</v>
      </c>
      <c r="D25" s="81" t="s">
        <v>121</v>
      </c>
      <c r="E25" s="81" t="s">
        <v>358</v>
      </c>
      <c r="F25" s="81">
        <v>1970</v>
      </c>
      <c r="H25" s="85">
        <v>3972.9333333333329</v>
      </c>
      <c r="I25" s="4">
        <f t="shared" si="6"/>
        <v>1.7</v>
      </c>
      <c r="J25" s="4">
        <f t="shared" si="1"/>
        <v>6753.9866666666658</v>
      </c>
      <c r="L25">
        <v>16</v>
      </c>
      <c r="M25">
        <f>VLOOKUP(L25,Regolamento!A:B,2,1)</f>
        <v>25</v>
      </c>
      <c r="N25" s="4">
        <f t="shared" si="2"/>
        <v>1.75</v>
      </c>
      <c r="O25" s="4">
        <f t="shared" si="3"/>
        <v>1.25</v>
      </c>
      <c r="P25" s="6">
        <f t="shared" si="4"/>
        <v>54.6875</v>
      </c>
      <c r="R25" s="6">
        <f t="shared" si="5"/>
        <v>52.972444444444442</v>
      </c>
      <c r="T25" s="63"/>
      <c r="U25" s="10"/>
    </row>
    <row r="26" spans="1:21" x14ac:dyDescent="0.25">
      <c r="A26" s="8" t="s">
        <v>347</v>
      </c>
      <c r="B26" s="12" t="str">
        <f>VLOOKUP(A26,concorrenti!A:B,2,1)</f>
        <v>VCC COMO</v>
      </c>
      <c r="C26" s="12">
        <f>VLOOKUP(A26,concorrenti!A:E,5,1)</f>
        <v>0</v>
      </c>
      <c r="D26" s="81" t="s">
        <v>126</v>
      </c>
      <c r="E26" s="83">
        <v>356</v>
      </c>
      <c r="F26" s="81">
        <v>1958</v>
      </c>
      <c r="H26" s="85">
        <v>4647</v>
      </c>
      <c r="I26" s="4">
        <f t="shared" si="6"/>
        <v>1.58</v>
      </c>
      <c r="J26" s="4">
        <f t="shared" si="1"/>
        <v>7342.26</v>
      </c>
      <c r="L26">
        <v>14</v>
      </c>
      <c r="M26">
        <f>VLOOKUP(L26,Regolamento!A:B,2,1)</f>
        <v>27</v>
      </c>
      <c r="N26" s="4">
        <f t="shared" si="2"/>
        <v>1.75</v>
      </c>
      <c r="O26" s="4">
        <f t="shared" si="3"/>
        <v>1.25</v>
      </c>
      <c r="P26" s="6">
        <f t="shared" si="4"/>
        <v>59.0625</v>
      </c>
      <c r="R26" s="6">
        <f t="shared" si="5"/>
        <v>61.96</v>
      </c>
      <c r="T26" s="63"/>
      <c r="U26" s="10"/>
    </row>
    <row r="27" spans="1:21" x14ac:dyDescent="0.25">
      <c r="A27" s="8" t="s">
        <v>348</v>
      </c>
      <c r="B27" s="12" t="str">
        <f>VLOOKUP(A27,concorrenti!A:B,2,1)</f>
        <v>VCC COMO</v>
      </c>
      <c r="C27" s="12">
        <f>VLOOKUP(A27,concorrenti!A:E,5,1)</f>
        <v>0</v>
      </c>
      <c r="D27" s="81" t="s">
        <v>230</v>
      </c>
      <c r="E27" s="81" t="s">
        <v>361</v>
      </c>
      <c r="F27" s="81">
        <v>1963</v>
      </c>
      <c r="H27" s="85">
        <v>4743.8433333333332</v>
      </c>
      <c r="I27" s="4">
        <f t="shared" si="6"/>
        <v>1.63</v>
      </c>
      <c r="J27" s="4">
        <f t="shared" si="1"/>
        <v>7732.464633333333</v>
      </c>
      <c r="K27" s="9"/>
      <c r="L27">
        <v>18</v>
      </c>
      <c r="M27">
        <f>VLOOKUP(L27,Regolamento!A:B,2,1)</f>
        <v>23</v>
      </c>
      <c r="N27" s="4">
        <f t="shared" si="2"/>
        <v>1.75</v>
      </c>
      <c r="O27" s="4">
        <f t="shared" si="3"/>
        <v>1.25</v>
      </c>
      <c r="P27" s="6">
        <f t="shared" si="4"/>
        <v>50.3125</v>
      </c>
      <c r="R27" s="6">
        <f t="shared" si="5"/>
        <v>63.251244444444445</v>
      </c>
      <c r="T27" s="63"/>
      <c r="U27" s="10"/>
    </row>
    <row r="28" spans="1:21" x14ac:dyDescent="0.25">
      <c r="A28" s="8" t="s">
        <v>351</v>
      </c>
      <c r="B28" s="12" t="str">
        <f>VLOOKUP(A28,concorrenti!A:B,2,1)</f>
        <v>CMAE</v>
      </c>
      <c r="C28" s="12">
        <f>VLOOKUP(A28,concorrenti!A:E,5,1)</f>
        <v>0</v>
      </c>
      <c r="D28" s="81" t="s">
        <v>230</v>
      </c>
      <c r="E28" s="81" t="s">
        <v>370</v>
      </c>
      <c r="F28" s="81">
        <v>1971</v>
      </c>
      <c r="H28" s="85">
        <v>6828</v>
      </c>
      <c r="I28" s="4">
        <f t="shared" si="6"/>
        <v>1.71</v>
      </c>
      <c r="J28" s="4">
        <f t="shared" si="1"/>
        <v>11675.88</v>
      </c>
      <c r="L28">
        <v>15</v>
      </c>
      <c r="M28">
        <f>VLOOKUP(L28,Regolamento!A:B,2,1)</f>
        <v>26</v>
      </c>
      <c r="N28" s="4">
        <f t="shared" si="2"/>
        <v>1.75</v>
      </c>
      <c r="O28" s="4">
        <f t="shared" si="3"/>
        <v>1.25</v>
      </c>
      <c r="P28" s="6">
        <f t="shared" si="4"/>
        <v>56.875</v>
      </c>
      <c r="R28" s="6">
        <f t="shared" si="5"/>
        <v>91.04</v>
      </c>
      <c r="T28" s="63"/>
      <c r="U28" s="10"/>
    </row>
    <row r="29" spans="1:21" x14ac:dyDescent="0.25">
      <c r="A29" s="8" t="s">
        <v>213</v>
      </c>
      <c r="B29" s="12" t="str">
        <f>VLOOKUP(A29,concorrenti!A:B,2,1)</f>
        <v>CAVEM</v>
      </c>
      <c r="C29" s="12">
        <f>VLOOKUP(A29,concorrenti!A:E,5,1)</f>
        <v>0</v>
      </c>
      <c r="D29" s="81" t="s">
        <v>243</v>
      </c>
      <c r="E29" s="81" t="s">
        <v>369</v>
      </c>
      <c r="F29" s="81">
        <v>1991</v>
      </c>
      <c r="H29" s="85">
        <v>7042.9999999999991</v>
      </c>
      <c r="I29" s="4">
        <f t="shared" si="6"/>
        <v>1.9100000000000001</v>
      </c>
      <c r="J29" s="4">
        <f t="shared" si="1"/>
        <v>13452.13</v>
      </c>
      <c r="L29">
        <v>17</v>
      </c>
      <c r="M29">
        <f>VLOOKUP(L29,Regolamento!A:B,2,1)</f>
        <v>24</v>
      </c>
      <c r="N29" s="4">
        <f t="shared" si="2"/>
        <v>1.75</v>
      </c>
      <c r="O29" s="4">
        <f t="shared" si="3"/>
        <v>1.25</v>
      </c>
      <c r="P29" s="6">
        <f t="shared" si="4"/>
        <v>52.5</v>
      </c>
      <c r="R29" s="6">
        <f t="shared" si="5"/>
        <v>93.906666666666652</v>
      </c>
      <c r="T29" s="63"/>
      <c r="U29" s="10"/>
    </row>
    <row r="30" spans="1:21" x14ac:dyDescent="0.25">
      <c r="A30" s="8" t="s">
        <v>354</v>
      </c>
      <c r="B30" s="12" t="str">
        <f>VLOOKUP(A30,concorrenti!A:B,2,1)</f>
        <v>VCC COMO</v>
      </c>
      <c r="C30" s="12">
        <f>VLOOKUP(A30,concorrenti!A:E,5,1)</f>
        <v>0</v>
      </c>
      <c r="D30" s="81" t="s">
        <v>151</v>
      </c>
      <c r="E30" s="81" t="s">
        <v>362</v>
      </c>
      <c r="F30" s="81">
        <v>2001</v>
      </c>
      <c r="H30" s="85">
        <v>10995.000000000002</v>
      </c>
      <c r="I30" s="4">
        <v>2.0099999999999998</v>
      </c>
      <c r="J30" s="4">
        <f t="shared" si="1"/>
        <v>22099.95</v>
      </c>
      <c r="L30">
        <v>19</v>
      </c>
      <c r="M30">
        <f>VLOOKUP(L30,Regolamento!A:B,2,1)</f>
        <v>22</v>
      </c>
      <c r="N30" s="4">
        <f t="shared" si="2"/>
        <v>1.75</v>
      </c>
      <c r="O30" s="4">
        <f t="shared" si="3"/>
        <v>1.25</v>
      </c>
      <c r="P30" s="6">
        <f t="shared" si="4"/>
        <v>48.125</v>
      </c>
      <c r="R30" s="6">
        <f t="shared" si="5"/>
        <v>146.60000000000002</v>
      </c>
      <c r="T30" s="63"/>
      <c r="U30" s="10"/>
    </row>
    <row r="31" spans="1:21" x14ac:dyDescent="0.25">
      <c r="A31" s="8" t="s">
        <v>349</v>
      </c>
      <c r="B31" s="12" t="str">
        <f>VLOOKUP(A31,concorrenti!A:B,2,1)</f>
        <v>VCC COMO</v>
      </c>
      <c r="C31" s="12">
        <f>VLOOKUP(A31,concorrenti!A:E,5,1)</f>
        <v>0</v>
      </c>
      <c r="D31" s="81" t="s">
        <v>121</v>
      </c>
      <c r="E31" s="82" t="s">
        <v>363</v>
      </c>
      <c r="F31" s="81">
        <v>1967</v>
      </c>
      <c r="G31" s="9"/>
      <c r="H31" s="85">
        <v>33333</v>
      </c>
      <c r="I31" s="4">
        <f>IF(C31&lt;&gt;0,((1+RIGHT(F31,2)/100)-0.1),(1+RIGHT(F31,2)/100))</f>
        <v>1.67</v>
      </c>
      <c r="J31" s="4">
        <f t="shared" si="1"/>
        <v>55666.11</v>
      </c>
      <c r="L31">
        <v>21</v>
      </c>
      <c r="M31">
        <f>VLOOKUP(L31,Regolamento!A:B,2,1)</f>
        <v>20</v>
      </c>
      <c r="N31" s="4">
        <f t="shared" si="2"/>
        <v>1.75</v>
      </c>
      <c r="O31" s="4">
        <f t="shared" si="3"/>
        <v>1.25</v>
      </c>
      <c r="P31" s="6">
        <f t="shared" si="4"/>
        <v>43.75</v>
      </c>
      <c r="R31" s="6">
        <f t="shared" si="5"/>
        <v>444.44</v>
      </c>
      <c r="T31" s="63"/>
      <c r="U31" s="10"/>
    </row>
    <row r="32" spans="1:21" x14ac:dyDescent="0.25">
      <c r="A32" s="8" t="s">
        <v>352</v>
      </c>
      <c r="B32" s="12" t="str">
        <f>VLOOKUP(A32,concorrenti!A:B,2,1)</f>
        <v>CAVEM</v>
      </c>
      <c r="C32" s="12">
        <f>VLOOKUP(A32,concorrenti!A:E,5,1)</f>
        <v>0</v>
      </c>
      <c r="D32" s="81" t="s">
        <v>230</v>
      </c>
      <c r="E32" s="81" t="s">
        <v>373</v>
      </c>
      <c r="F32" s="81">
        <v>1972</v>
      </c>
      <c r="G32" s="8"/>
      <c r="H32" s="85">
        <v>33333</v>
      </c>
      <c r="I32" s="4">
        <f>IF(C32&lt;&gt;0,((1+RIGHT(F32,2)/100)-0.1),(1+RIGHT(F32,2)/100))</f>
        <v>1.72</v>
      </c>
      <c r="J32" s="4">
        <f t="shared" si="1"/>
        <v>57332.76</v>
      </c>
      <c r="L32">
        <v>22</v>
      </c>
      <c r="M32">
        <f>VLOOKUP(L32,Regolamento!A:B,2,1)</f>
        <v>19</v>
      </c>
      <c r="N32" s="4">
        <f t="shared" si="2"/>
        <v>1.75</v>
      </c>
      <c r="O32" s="4">
        <f t="shared" si="3"/>
        <v>1.25</v>
      </c>
      <c r="P32" s="6">
        <f t="shared" si="4"/>
        <v>41.5625</v>
      </c>
      <c r="R32" s="6">
        <f t="shared" si="5"/>
        <v>444.44</v>
      </c>
      <c r="T32" s="63"/>
      <c r="U32" s="10"/>
    </row>
    <row r="33" spans="1:21" x14ac:dyDescent="0.25">
      <c r="A33" s="8" t="s">
        <v>91</v>
      </c>
      <c r="B33" s="12" t="str">
        <f>VLOOKUP(A33,concorrenti!A:B,2,1)</f>
        <v>VALTELLINA</v>
      </c>
      <c r="C33" s="12">
        <f>VLOOKUP(A33,concorrenti!A:E,5,1)</f>
        <v>0</v>
      </c>
      <c r="D33" s="81" t="s">
        <v>236</v>
      </c>
      <c r="E33" s="81" t="s">
        <v>364</v>
      </c>
      <c r="F33" s="81">
        <v>1963</v>
      </c>
      <c r="G33" s="8"/>
      <c r="H33" s="85">
        <v>61349.079754601233</v>
      </c>
      <c r="I33" s="4">
        <f>IF(C33&lt;&gt;0,((1+RIGHT(F33,2)/100)-0.1),(1+RIGHT(F33,2)/100))</f>
        <v>1.63</v>
      </c>
      <c r="J33" s="4">
        <f t="shared" si="1"/>
        <v>99999</v>
      </c>
      <c r="L33">
        <v>20</v>
      </c>
      <c r="M33">
        <f>VLOOKUP(L33,Regolamento!A:B,2,1)</f>
        <v>21</v>
      </c>
      <c r="N33" s="4">
        <f t="shared" si="2"/>
        <v>1.75</v>
      </c>
      <c r="O33" s="4">
        <f t="shared" si="3"/>
        <v>1.25</v>
      </c>
      <c r="P33" s="6">
        <f t="shared" si="4"/>
        <v>45.9375</v>
      </c>
      <c r="R33" s="6">
        <f t="shared" si="5"/>
        <v>817.98773006134979</v>
      </c>
      <c r="T33" s="63"/>
      <c r="U33" s="10"/>
    </row>
    <row r="36" spans="1:21" ht="14.25" x14ac:dyDescent="0.25">
      <c r="P36" s="10">
        <f>SUM(P12:P35)</f>
        <v>1463.4375</v>
      </c>
    </row>
    <row r="37" spans="1:21" ht="14.25" x14ac:dyDescent="0.25">
      <c r="P37" s="10">
        <f>+P36-Generale!K3</f>
        <v>0</v>
      </c>
    </row>
  </sheetData>
  <sheetProtection algorithmName="SHA-512" hashValue="xWVseaeXP73WpPVSTz57y29O99+zdttC2ItikxfusNaeUAr+f8sbJuIsPqT7+McXDwQ8Wh4Ssrv8pZcLfNzgdQ==" saltValue="NhHtj7XLxi+7GJW1KA9hJw==" spinCount="100000" sheet="1" objects="1" scenarios="1"/>
  <sortState xmlns:xlrd2="http://schemas.microsoft.com/office/spreadsheetml/2017/richdata2" ref="A12:J33">
    <sortCondition ref="H12:H33"/>
  </sortState>
  <mergeCells count="3">
    <mergeCell ref="H1:P1"/>
    <mergeCell ref="H8:J8"/>
    <mergeCell ref="N8:O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5150B-452E-4236-8DC4-C3C623B3D9F0}">
  <sheetPr>
    <tabColor rgb="FF92D050"/>
  </sheetPr>
  <dimension ref="A1:V44"/>
  <sheetViews>
    <sheetView workbookViewId="0">
      <selection activeCell="T18" sqref="T18"/>
    </sheetView>
  </sheetViews>
  <sheetFormatPr defaultRowHeight="15" x14ac:dyDescent="0.25"/>
  <cols>
    <col min="1" max="1" width="24.28515625" bestFit="1" customWidth="1"/>
    <col min="2" max="2" width="13" bestFit="1" customWidth="1"/>
    <col min="3" max="3" width="9.140625" bestFit="1" customWidth="1"/>
    <col min="4" max="4" width="13.5703125" bestFit="1" customWidth="1"/>
    <col min="5" max="5" width="20.42578125" bestFit="1" customWidth="1"/>
    <col min="6" max="6" width="5.7109375" bestFit="1" customWidth="1"/>
    <col min="7" max="7" width="2.42578125" customWidth="1"/>
    <col min="8" max="8" width="7.85546875" bestFit="1" customWidth="1"/>
    <col min="9" max="9" width="9.140625" style="4" bestFit="1" customWidth="1"/>
    <col min="10" max="10" width="13.28515625" style="4" bestFit="1" customWidth="1"/>
    <col min="11" max="11" width="3" customWidth="1"/>
    <col min="12" max="13" width="5.7109375" bestFit="1" customWidth="1"/>
    <col min="14" max="14" width="6.140625" bestFit="1" customWidth="1"/>
    <col min="15" max="15" width="8.140625" bestFit="1" customWidth="1"/>
    <col min="16" max="16" width="9.5703125" bestFit="1" customWidth="1"/>
    <col min="17" max="17" width="3.7109375" customWidth="1"/>
    <col min="18" max="18" width="9.5703125" customWidth="1"/>
    <col min="20" max="20" width="18.140625" bestFit="1" customWidth="1"/>
    <col min="21" max="21" width="9" style="4"/>
    <col min="22" max="22" width="2.85546875" bestFit="1" customWidth="1"/>
  </cols>
  <sheetData>
    <row r="1" spans="1:22" ht="15.6" x14ac:dyDescent="0.25">
      <c r="A1" t="s">
        <v>47</v>
      </c>
      <c r="H1" s="141" t="s">
        <v>109</v>
      </c>
      <c r="I1" s="141"/>
      <c r="J1" s="141"/>
      <c r="K1" s="141"/>
      <c r="L1" s="141"/>
      <c r="M1" s="141"/>
      <c r="N1" s="141"/>
      <c r="O1" s="141"/>
      <c r="P1" s="141"/>
      <c r="Q1" s="88"/>
      <c r="R1" s="88"/>
      <c r="T1" t="s">
        <v>66</v>
      </c>
      <c r="U1" s="4">
        <v>588.38</v>
      </c>
      <c r="V1">
        <v>15</v>
      </c>
    </row>
    <row r="2" spans="1:22" ht="14.25" x14ac:dyDescent="0.25">
      <c r="A2" t="s">
        <v>48</v>
      </c>
      <c r="E2" s="35" t="s">
        <v>108</v>
      </c>
      <c r="T2" t="s">
        <v>98</v>
      </c>
      <c r="U2" s="4">
        <v>259</v>
      </c>
      <c r="V2">
        <v>12</v>
      </c>
    </row>
    <row r="3" spans="1:22" ht="14.25" x14ac:dyDescent="0.25">
      <c r="A3" t="s">
        <v>65</v>
      </c>
      <c r="E3" s="35" t="s">
        <v>66</v>
      </c>
      <c r="T3" t="s">
        <v>376</v>
      </c>
      <c r="U3" s="4">
        <v>222.4</v>
      </c>
      <c r="V3">
        <v>10</v>
      </c>
    </row>
    <row r="4" spans="1:22" ht="14.25" x14ac:dyDescent="0.25">
      <c r="A4" t="s">
        <v>52</v>
      </c>
      <c r="E4" s="1" t="s">
        <v>539</v>
      </c>
      <c r="T4" t="s">
        <v>99</v>
      </c>
      <c r="U4" s="4">
        <v>191.43</v>
      </c>
      <c r="V4">
        <v>8</v>
      </c>
    </row>
    <row r="5" spans="1:22" ht="14.25" x14ac:dyDescent="0.25">
      <c r="A5" t="s">
        <v>50</v>
      </c>
      <c r="E5" s="1">
        <v>84</v>
      </c>
      <c r="T5" t="s">
        <v>100</v>
      </c>
      <c r="U5" s="4">
        <v>95.72</v>
      </c>
      <c r="V5">
        <v>7</v>
      </c>
    </row>
    <row r="6" spans="1:22" ht="14.25" x14ac:dyDescent="0.25">
      <c r="A6" t="s">
        <v>51</v>
      </c>
      <c r="E6" s="1">
        <v>53</v>
      </c>
      <c r="T6" t="s">
        <v>68</v>
      </c>
      <c r="U6" s="4">
        <v>36.6</v>
      </c>
      <c r="V6">
        <v>6</v>
      </c>
    </row>
    <row r="7" spans="1:22" ht="14.25" x14ac:dyDescent="0.25">
      <c r="D7" s="1"/>
    </row>
    <row r="8" spans="1:22" x14ac:dyDescent="0.25">
      <c r="A8" s="36" t="s">
        <v>44</v>
      </c>
      <c r="B8" s="96" t="s">
        <v>483</v>
      </c>
      <c r="C8" s="74" t="s">
        <v>46</v>
      </c>
      <c r="D8" s="18" t="s">
        <v>55</v>
      </c>
      <c r="E8" s="18" t="s">
        <v>56</v>
      </c>
      <c r="F8" s="19" t="s">
        <v>57</v>
      </c>
      <c r="H8" s="142" t="s">
        <v>53</v>
      </c>
      <c r="I8" s="140"/>
      <c r="J8" s="143"/>
      <c r="K8" s="2"/>
      <c r="L8" s="27" t="s">
        <v>54</v>
      </c>
      <c r="M8" s="30"/>
      <c r="N8" s="140" t="s">
        <v>8</v>
      </c>
      <c r="O8" s="140"/>
      <c r="P8" s="31"/>
      <c r="Q8" s="26"/>
      <c r="R8" s="26"/>
    </row>
    <row r="9" spans="1:22" ht="14.25" x14ac:dyDescent="0.25">
      <c r="H9" s="20" t="s">
        <v>36</v>
      </c>
      <c r="I9" s="21" t="s">
        <v>38</v>
      </c>
      <c r="J9" s="22" t="s">
        <v>0</v>
      </c>
      <c r="K9" s="7"/>
      <c r="L9" s="28"/>
      <c r="M9" s="32" t="s">
        <v>0</v>
      </c>
      <c r="N9" s="21" t="s">
        <v>9</v>
      </c>
      <c r="O9" s="21" t="s">
        <v>5</v>
      </c>
      <c r="P9" s="33" t="s">
        <v>11</v>
      </c>
      <c r="Q9" s="26"/>
      <c r="R9" s="26"/>
    </row>
    <row r="10" spans="1:22" ht="14.25" x14ac:dyDescent="0.25">
      <c r="H10" s="23" t="s">
        <v>37</v>
      </c>
      <c r="I10" s="24"/>
      <c r="J10" s="25" t="s">
        <v>39</v>
      </c>
      <c r="K10" s="6"/>
      <c r="L10" s="29"/>
      <c r="M10" s="34"/>
      <c r="N10" s="24"/>
      <c r="O10" s="24"/>
      <c r="P10" s="25"/>
      <c r="Q10" s="26"/>
      <c r="R10" s="26"/>
    </row>
    <row r="11" spans="1:22" ht="14.25" x14ac:dyDescent="0.25">
      <c r="R11" s="7" t="s">
        <v>169</v>
      </c>
    </row>
    <row r="12" spans="1:22" ht="14.25" x14ac:dyDescent="0.25">
      <c r="A12" s="8" t="s">
        <v>72</v>
      </c>
      <c r="B12" s="12" t="str">
        <f>VLOOKUP(A12,concorrenti!A:B,2,1)</f>
        <v>VAMS</v>
      </c>
      <c r="C12" s="12" t="str">
        <f>VLOOKUP(A12,concorrenti!A:E,5,1)</f>
        <v>X</v>
      </c>
      <c r="D12" t="s">
        <v>232</v>
      </c>
      <c r="E12" t="s">
        <v>461</v>
      </c>
      <c r="F12">
        <v>1938</v>
      </c>
      <c r="H12" s="77">
        <v>405.00000000000006</v>
      </c>
      <c r="I12" s="4">
        <f t="shared" ref="I12:I41" si="0">IF(C12&lt;&gt;0,((1+RIGHT(F12,2)/100)-0.1),(1+RIGHT(F12,2)/100))</f>
        <v>1.2799999999999998</v>
      </c>
      <c r="J12" s="4">
        <f t="shared" ref="J12:J41" si="1">+H12*I12</f>
        <v>518.4</v>
      </c>
      <c r="L12">
        <v>1</v>
      </c>
      <c r="M12">
        <f>VLOOKUP(L12,Regolamento!A:B,2,1)</f>
        <v>50</v>
      </c>
      <c r="N12" s="4">
        <f t="shared" ref="N12:N41" si="2">1+E$5/100</f>
        <v>1.8399999999999999</v>
      </c>
      <c r="O12" s="4">
        <f t="shared" ref="O12:O41" si="3">1+E$6/100</f>
        <v>1.53</v>
      </c>
      <c r="P12" s="6">
        <f>IF(H12&lt;&gt;0,+M12*N12*O12,0)</f>
        <v>140.76</v>
      </c>
      <c r="Q12" s="6"/>
      <c r="R12" s="6">
        <f>+H12/E$5</f>
        <v>4.8214285714285721</v>
      </c>
      <c r="U12"/>
    </row>
    <row r="13" spans="1:22" ht="14.25" x14ac:dyDescent="0.25">
      <c r="A13" s="8" t="s">
        <v>17</v>
      </c>
      <c r="B13" s="12" t="str">
        <f>VLOOKUP(A13,concorrenti!A:B,2,1)</f>
        <v>VAMS</v>
      </c>
      <c r="C13" s="12">
        <f>VLOOKUP(A13,concorrenti!A:E,5,1)</f>
        <v>0</v>
      </c>
      <c r="D13" t="s">
        <v>232</v>
      </c>
      <c r="E13" t="s">
        <v>462</v>
      </c>
      <c r="F13">
        <v>1972</v>
      </c>
      <c r="H13" s="77">
        <v>495</v>
      </c>
      <c r="I13" s="4">
        <f t="shared" si="0"/>
        <v>1.72</v>
      </c>
      <c r="J13" s="4">
        <f t="shared" si="1"/>
        <v>851.4</v>
      </c>
      <c r="L13">
        <v>2</v>
      </c>
      <c r="M13">
        <f>VLOOKUP(L13,Regolamento!A:B,2,1)</f>
        <v>45</v>
      </c>
      <c r="N13" s="4">
        <f t="shared" si="2"/>
        <v>1.8399999999999999</v>
      </c>
      <c r="O13" s="4">
        <f t="shared" si="3"/>
        <v>1.53</v>
      </c>
      <c r="P13" s="6">
        <f t="shared" ref="P13:P41" si="4">IF(H13&lt;&gt;0,+M13*N13*O13,0)</f>
        <v>126.684</v>
      </c>
      <c r="Q13" s="6"/>
      <c r="R13" s="6">
        <f t="shared" ref="R13:R41" si="5">+H13/E$5</f>
        <v>5.8928571428571432</v>
      </c>
      <c r="U13"/>
    </row>
    <row r="14" spans="1:22" ht="14.25" x14ac:dyDescent="0.25">
      <c r="A14" s="8" t="s">
        <v>12</v>
      </c>
      <c r="B14" s="12" t="str">
        <f>VLOOKUP(A14,concorrenti!A:B,2,1)</f>
        <v>VAMS</v>
      </c>
      <c r="C14" s="12">
        <f>VLOOKUP(A14,concorrenti!A:E,5,1)</f>
        <v>0</v>
      </c>
      <c r="D14" t="s">
        <v>236</v>
      </c>
      <c r="E14" t="s">
        <v>463</v>
      </c>
      <c r="F14">
        <v>1960</v>
      </c>
      <c r="H14" s="77">
        <v>571</v>
      </c>
      <c r="I14" s="4">
        <f t="shared" si="0"/>
        <v>1.6</v>
      </c>
      <c r="J14" s="4">
        <f t="shared" si="1"/>
        <v>913.6</v>
      </c>
      <c r="L14">
        <v>3</v>
      </c>
      <c r="M14">
        <f>VLOOKUP(L14,Regolamento!A:B,2,1)</f>
        <v>41</v>
      </c>
      <c r="N14" s="4">
        <f t="shared" si="2"/>
        <v>1.8399999999999999</v>
      </c>
      <c r="O14" s="4">
        <f t="shared" si="3"/>
        <v>1.53</v>
      </c>
      <c r="P14" s="6">
        <f t="shared" si="4"/>
        <v>115.42319999999999</v>
      </c>
      <c r="Q14" s="6"/>
      <c r="R14" s="6">
        <f t="shared" si="5"/>
        <v>6.7976190476190474</v>
      </c>
      <c r="U14"/>
    </row>
    <row r="15" spans="1:22" ht="14.25" x14ac:dyDescent="0.25">
      <c r="A15" s="8" t="s">
        <v>75</v>
      </c>
      <c r="B15" s="12" t="str">
        <f>VLOOKUP(A15,concorrenti!A:B,2,1)</f>
        <v>VAMS</v>
      </c>
      <c r="C15" s="12">
        <f>VLOOKUP(A15,concorrenti!A:E,5,1)</f>
        <v>0</v>
      </c>
      <c r="D15" t="s">
        <v>235</v>
      </c>
      <c r="E15" t="s">
        <v>464</v>
      </c>
      <c r="F15">
        <v>1959</v>
      </c>
      <c r="H15" s="77">
        <v>600</v>
      </c>
      <c r="I15" s="4">
        <f t="shared" si="0"/>
        <v>1.5899999999999999</v>
      </c>
      <c r="J15" s="4">
        <f t="shared" si="1"/>
        <v>953.99999999999989</v>
      </c>
      <c r="L15">
        <v>4</v>
      </c>
      <c r="M15">
        <f>VLOOKUP(L15,Regolamento!A:B,2,1)</f>
        <v>38</v>
      </c>
      <c r="N15" s="4">
        <f t="shared" si="2"/>
        <v>1.8399999999999999</v>
      </c>
      <c r="O15" s="4">
        <f t="shared" si="3"/>
        <v>1.53</v>
      </c>
      <c r="P15" s="6">
        <f t="shared" si="4"/>
        <v>106.97759999999998</v>
      </c>
      <c r="Q15" s="6"/>
      <c r="R15" s="6">
        <f t="shared" si="5"/>
        <v>7.1428571428571432</v>
      </c>
      <c r="U15"/>
    </row>
    <row r="16" spans="1:22" x14ac:dyDescent="0.25">
      <c r="A16" s="8" t="s">
        <v>189</v>
      </c>
      <c r="B16" s="12" t="str">
        <f>VLOOKUP(A16,concorrenti!A:B,2,1)</f>
        <v>CASTELLOTTI</v>
      </c>
      <c r="C16" s="12">
        <f>VLOOKUP(A16,concorrenti!A:E,5,1)</f>
        <v>0</v>
      </c>
      <c r="D16" t="s">
        <v>233</v>
      </c>
      <c r="E16" t="s">
        <v>465</v>
      </c>
      <c r="F16">
        <v>1928</v>
      </c>
      <c r="H16" s="77">
        <v>803.99999999999989</v>
      </c>
      <c r="I16" s="4">
        <f t="shared" si="0"/>
        <v>1.28</v>
      </c>
      <c r="J16" s="4">
        <f t="shared" si="1"/>
        <v>1029.1199999999999</v>
      </c>
      <c r="L16">
        <v>5</v>
      </c>
      <c r="M16">
        <f>VLOOKUP(L16,Regolamento!A:B,2,1)</f>
        <v>36</v>
      </c>
      <c r="N16" s="4">
        <f t="shared" si="2"/>
        <v>1.8399999999999999</v>
      </c>
      <c r="O16" s="4">
        <f t="shared" si="3"/>
        <v>1.53</v>
      </c>
      <c r="P16" s="6">
        <f t="shared" si="4"/>
        <v>101.3472</v>
      </c>
      <c r="Q16" s="6"/>
      <c r="R16" s="6">
        <f t="shared" si="5"/>
        <v>9.5714285714285694</v>
      </c>
      <c r="U16"/>
    </row>
    <row r="17" spans="1:21" ht="14.25" x14ac:dyDescent="0.25">
      <c r="A17" s="8" t="s">
        <v>448</v>
      </c>
      <c r="B17" s="12" t="str">
        <f>VLOOKUP(A17,concorrenti!A:B,2,1)</f>
        <v>VAMS</v>
      </c>
      <c r="C17" s="12">
        <f>VLOOKUP(A17,concorrenti!A:E,5,1)</f>
        <v>0</v>
      </c>
      <c r="D17" t="s">
        <v>231</v>
      </c>
      <c r="E17" t="s">
        <v>466</v>
      </c>
      <c r="F17">
        <v>1966</v>
      </c>
      <c r="H17" s="77">
        <v>706.99999999999989</v>
      </c>
      <c r="I17" s="4">
        <f t="shared" si="0"/>
        <v>1.6600000000000001</v>
      </c>
      <c r="J17" s="4">
        <f t="shared" si="1"/>
        <v>1173.6199999999999</v>
      </c>
      <c r="K17" s="9"/>
      <c r="L17">
        <v>6</v>
      </c>
      <c r="M17">
        <f>VLOOKUP(L17,Regolamento!A:B,2,1)</f>
        <v>35</v>
      </c>
      <c r="N17" s="4">
        <f t="shared" si="2"/>
        <v>1.8399999999999999</v>
      </c>
      <c r="O17" s="4">
        <f t="shared" si="3"/>
        <v>1.53</v>
      </c>
      <c r="P17" s="6">
        <f t="shared" si="4"/>
        <v>98.531999999999982</v>
      </c>
      <c r="Q17" s="6"/>
      <c r="R17" s="6">
        <f t="shared" si="5"/>
        <v>8.4166666666666661</v>
      </c>
      <c r="U17"/>
    </row>
    <row r="18" spans="1:21" x14ac:dyDescent="0.25">
      <c r="A18" s="8" t="s">
        <v>315</v>
      </c>
      <c r="B18" s="12" t="str">
        <f>VLOOKUP(A18,concorrenti!A:B,2,1)</f>
        <v>VALTELLINA</v>
      </c>
      <c r="C18" s="12">
        <f>VLOOKUP(A18,concorrenti!A:E,5,1)</f>
        <v>0</v>
      </c>
      <c r="D18" t="s">
        <v>121</v>
      </c>
      <c r="E18" t="s">
        <v>262</v>
      </c>
      <c r="F18">
        <v>1969</v>
      </c>
      <c r="H18" s="77">
        <v>703</v>
      </c>
      <c r="I18" s="4">
        <f t="shared" si="0"/>
        <v>1.69</v>
      </c>
      <c r="J18" s="4">
        <f t="shared" si="1"/>
        <v>1188.07</v>
      </c>
      <c r="L18">
        <v>7</v>
      </c>
      <c r="M18">
        <f>VLOOKUP(L18,Regolamento!A:B,2,1)</f>
        <v>34</v>
      </c>
      <c r="N18" s="4">
        <f t="shared" si="2"/>
        <v>1.8399999999999999</v>
      </c>
      <c r="O18" s="4">
        <f t="shared" si="3"/>
        <v>1.53</v>
      </c>
      <c r="P18" s="6">
        <f t="shared" si="4"/>
        <v>95.716799999999992</v>
      </c>
      <c r="Q18" s="6"/>
      <c r="R18" s="6">
        <f t="shared" si="5"/>
        <v>8.3690476190476186</v>
      </c>
      <c r="U18"/>
    </row>
    <row r="19" spans="1:21" x14ac:dyDescent="0.25">
      <c r="A19" s="8" t="s">
        <v>73</v>
      </c>
      <c r="B19" s="12" t="str">
        <f>VLOOKUP(A19,concorrenti!A:B,2,1)</f>
        <v>VAMS</v>
      </c>
      <c r="C19" s="12">
        <f>VLOOKUP(A19,concorrenti!A:E,5,1)</f>
        <v>0</v>
      </c>
      <c r="D19" t="s">
        <v>232</v>
      </c>
      <c r="E19" t="s">
        <v>318</v>
      </c>
      <c r="F19">
        <v>1971</v>
      </c>
      <c r="H19" s="77">
        <v>715</v>
      </c>
      <c r="I19" s="4">
        <f t="shared" si="0"/>
        <v>1.71</v>
      </c>
      <c r="J19" s="4">
        <f t="shared" si="1"/>
        <v>1222.6499999999999</v>
      </c>
      <c r="L19">
        <v>8</v>
      </c>
      <c r="M19">
        <f>VLOOKUP(L19,Regolamento!A:B,2,1)</f>
        <v>33</v>
      </c>
      <c r="N19" s="4">
        <f t="shared" si="2"/>
        <v>1.8399999999999999</v>
      </c>
      <c r="O19" s="4">
        <f t="shared" si="3"/>
        <v>1.53</v>
      </c>
      <c r="P19" s="6">
        <f t="shared" si="4"/>
        <v>92.901600000000002</v>
      </c>
      <c r="Q19" s="6"/>
      <c r="R19" s="6">
        <f t="shared" si="5"/>
        <v>8.5119047619047628</v>
      </c>
    </row>
    <row r="20" spans="1:21" x14ac:dyDescent="0.25">
      <c r="A20" s="8" t="s">
        <v>16</v>
      </c>
      <c r="B20" s="12" t="str">
        <f>VLOOKUP(A20,concorrenti!A:B,2,1)</f>
        <v>OROBICO</v>
      </c>
      <c r="C20" s="12">
        <f>VLOOKUP(A20,concorrenti!A:E,5,1)</f>
        <v>0</v>
      </c>
      <c r="D20" t="s">
        <v>232</v>
      </c>
      <c r="E20" t="s">
        <v>468</v>
      </c>
      <c r="F20">
        <v>1961</v>
      </c>
      <c r="H20" s="77">
        <v>779.00000000000011</v>
      </c>
      <c r="I20" s="4">
        <f t="shared" si="0"/>
        <v>1.6099999999999999</v>
      </c>
      <c r="J20" s="4">
        <f t="shared" si="1"/>
        <v>1254.19</v>
      </c>
      <c r="L20">
        <v>9</v>
      </c>
      <c r="M20">
        <f>VLOOKUP(L20,Regolamento!A:B,2,1)</f>
        <v>32</v>
      </c>
      <c r="N20" s="4">
        <f t="shared" si="2"/>
        <v>1.8399999999999999</v>
      </c>
      <c r="O20" s="4">
        <f t="shared" si="3"/>
        <v>1.53</v>
      </c>
      <c r="P20" s="6">
        <f t="shared" si="4"/>
        <v>90.086399999999998</v>
      </c>
      <c r="Q20" s="6"/>
      <c r="R20" s="6">
        <f t="shared" si="5"/>
        <v>9.2738095238095255</v>
      </c>
      <c r="U20"/>
    </row>
    <row r="21" spans="1:21" x14ac:dyDescent="0.25">
      <c r="A21" s="8" t="s">
        <v>221</v>
      </c>
      <c r="B21" s="12" t="str">
        <f>VLOOKUP(A21,concorrenti!A:B,2,1)</f>
        <v>VAMS</v>
      </c>
      <c r="C21" s="12">
        <f>VLOOKUP(A21,concorrenti!A:E,5,1)</f>
        <v>0</v>
      </c>
      <c r="D21" t="s">
        <v>474</v>
      </c>
      <c r="E21" t="s">
        <v>412</v>
      </c>
      <c r="F21">
        <v>1969</v>
      </c>
      <c r="H21" s="77">
        <v>765</v>
      </c>
      <c r="I21" s="4">
        <f t="shared" si="0"/>
        <v>1.69</v>
      </c>
      <c r="J21" s="4">
        <f t="shared" si="1"/>
        <v>1292.8499999999999</v>
      </c>
      <c r="L21">
        <v>10</v>
      </c>
      <c r="M21">
        <f>VLOOKUP(L21,Regolamento!A:B,2,1)</f>
        <v>31</v>
      </c>
      <c r="N21" s="4">
        <f t="shared" si="2"/>
        <v>1.8399999999999999</v>
      </c>
      <c r="O21" s="4">
        <f t="shared" si="3"/>
        <v>1.53</v>
      </c>
      <c r="P21" s="6">
        <f t="shared" si="4"/>
        <v>87.271199999999993</v>
      </c>
      <c r="Q21" s="6"/>
      <c r="R21" s="6">
        <f t="shared" si="5"/>
        <v>9.1071428571428577</v>
      </c>
    </row>
    <row r="22" spans="1:21" x14ac:dyDescent="0.25">
      <c r="A22" s="8" t="s">
        <v>23</v>
      </c>
      <c r="B22" s="12" t="str">
        <f>VLOOKUP(A22,concorrenti!A:B,2,1)</f>
        <v>CASTELLOTTI</v>
      </c>
      <c r="C22" s="12">
        <f>VLOOKUP(A22,concorrenti!A:E,5,1)</f>
        <v>0</v>
      </c>
      <c r="D22" t="s">
        <v>230</v>
      </c>
      <c r="E22" t="s">
        <v>467</v>
      </c>
      <c r="F22">
        <v>1962</v>
      </c>
      <c r="G22" s="9"/>
      <c r="H22" s="77">
        <v>802</v>
      </c>
      <c r="I22" s="4">
        <f t="shared" si="0"/>
        <v>1.62</v>
      </c>
      <c r="J22" s="4">
        <f t="shared" si="1"/>
        <v>1299.24</v>
      </c>
      <c r="L22">
        <v>11</v>
      </c>
      <c r="M22">
        <f>VLOOKUP(L22,Regolamento!A:B,2,1)</f>
        <v>30</v>
      </c>
      <c r="N22" s="4">
        <f t="shared" si="2"/>
        <v>1.8399999999999999</v>
      </c>
      <c r="O22" s="4">
        <f t="shared" si="3"/>
        <v>1.53</v>
      </c>
      <c r="P22" s="6">
        <f t="shared" si="4"/>
        <v>84.455999999999989</v>
      </c>
      <c r="Q22" s="6"/>
      <c r="R22" s="6">
        <f t="shared" si="5"/>
        <v>9.5476190476190474</v>
      </c>
      <c r="U22"/>
    </row>
    <row r="23" spans="1:21" x14ac:dyDescent="0.25">
      <c r="A23" s="8" t="s">
        <v>314</v>
      </c>
      <c r="B23" s="12" t="str">
        <f>VLOOKUP(A23,concorrenti!A:B,2,1)</f>
        <v>OROBICO</v>
      </c>
      <c r="C23" s="12">
        <f>VLOOKUP(A23,concorrenti!A:E,5,1)</f>
        <v>0</v>
      </c>
      <c r="D23" t="s">
        <v>231</v>
      </c>
      <c r="E23" t="s">
        <v>469</v>
      </c>
      <c r="F23">
        <v>1958</v>
      </c>
      <c r="H23" s="77">
        <v>1171</v>
      </c>
      <c r="I23" s="4">
        <f t="shared" si="0"/>
        <v>1.58</v>
      </c>
      <c r="J23" s="4">
        <f t="shared" si="1"/>
        <v>1850.18</v>
      </c>
      <c r="L23">
        <v>12</v>
      </c>
      <c r="M23">
        <f>VLOOKUP(L23,Regolamento!A:B,2,1)</f>
        <v>29</v>
      </c>
      <c r="N23" s="4">
        <f t="shared" si="2"/>
        <v>1.8399999999999999</v>
      </c>
      <c r="O23" s="4">
        <f t="shared" si="3"/>
        <v>1.53</v>
      </c>
      <c r="P23" s="6">
        <f t="shared" si="4"/>
        <v>81.640799999999999</v>
      </c>
      <c r="Q23" s="6"/>
      <c r="R23" s="6">
        <f t="shared" si="5"/>
        <v>13.94047619047619</v>
      </c>
      <c r="U23"/>
    </row>
    <row r="24" spans="1:21" x14ac:dyDescent="0.25">
      <c r="A24" s="8" t="s">
        <v>449</v>
      </c>
      <c r="B24" s="12" t="str">
        <f>VLOOKUP(A24,concorrenti!A:B,2,1)</f>
        <v>VAMS</v>
      </c>
      <c r="C24" s="12">
        <f>VLOOKUP(A24,concorrenti!A:E,5,1)</f>
        <v>0</v>
      </c>
      <c r="D24" t="s">
        <v>231</v>
      </c>
      <c r="E24" t="s">
        <v>470</v>
      </c>
      <c r="F24">
        <v>1960</v>
      </c>
      <c r="H24" s="77">
        <v>1303</v>
      </c>
      <c r="I24" s="4">
        <f t="shared" si="0"/>
        <v>1.6</v>
      </c>
      <c r="J24" s="4">
        <f t="shared" si="1"/>
        <v>2084.8000000000002</v>
      </c>
      <c r="L24">
        <v>13</v>
      </c>
      <c r="M24">
        <f>VLOOKUP(L24,Regolamento!A:B,2,1)</f>
        <v>28</v>
      </c>
      <c r="N24" s="4">
        <f t="shared" si="2"/>
        <v>1.8399999999999999</v>
      </c>
      <c r="O24" s="4">
        <f t="shared" si="3"/>
        <v>1.53</v>
      </c>
      <c r="P24" s="6">
        <f t="shared" si="4"/>
        <v>78.825599999999994</v>
      </c>
      <c r="Q24" s="6"/>
      <c r="R24" s="6">
        <f t="shared" si="5"/>
        <v>15.511904761904763</v>
      </c>
    </row>
    <row r="25" spans="1:21" x14ac:dyDescent="0.25">
      <c r="A25" s="8" t="s">
        <v>31</v>
      </c>
      <c r="B25" s="12" t="str">
        <f>VLOOKUP(A25,concorrenti!A:B,2,1)</f>
        <v>OROBICO</v>
      </c>
      <c r="C25" s="12">
        <f>VLOOKUP(A25,concorrenti!A:E,5,1)</f>
        <v>0</v>
      </c>
      <c r="D25" t="s">
        <v>471</v>
      </c>
      <c r="E25" t="s">
        <v>472</v>
      </c>
      <c r="F25">
        <v>1972</v>
      </c>
      <c r="H25" s="77">
        <v>1272</v>
      </c>
      <c r="I25" s="4">
        <f t="shared" si="0"/>
        <v>1.72</v>
      </c>
      <c r="J25" s="4">
        <f t="shared" si="1"/>
        <v>2187.84</v>
      </c>
      <c r="L25">
        <v>14</v>
      </c>
      <c r="M25">
        <f>VLOOKUP(L25,Regolamento!A:B,2,1)</f>
        <v>27</v>
      </c>
      <c r="N25" s="4">
        <f t="shared" si="2"/>
        <v>1.8399999999999999</v>
      </c>
      <c r="O25" s="4">
        <f t="shared" si="3"/>
        <v>1.53</v>
      </c>
      <c r="P25" s="6">
        <f t="shared" si="4"/>
        <v>76.01039999999999</v>
      </c>
      <c r="Q25" s="6"/>
      <c r="R25" s="6">
        <f t="shared" si="5"/>
        <v>15.142857142857142</v>
      </c>
      <c r="U25"/>
    </row>
    <row r="26" spans="1:21" x14ac:dyDescent="0.25">
      <c r="A26" s="8" t="s">
        <v>13</v>
      </c>
      <c r="B26" s="12" t="str">
        <f>VLOOKUP(A26,concorrenti!A:B,2,1)</f>
        <v>VAMS</v>
      </c>
      <c r="C26" s="12">
        <f>VLOOKUP(A26,concorrenti!A:E,5,1)</f>
        <v>0</v>
      </c>
      <c r="D26" t="s">
        <v>230</v>
      </c>
      <c r="E26" t="s">
        <v>229</v>
      </c>
      <c r="F26">
        <v>1961</v>
      </c>
      <c r="G26" s="8"/>
      <c r="H26" s="77">
        <v>1400</v>
      </c>
      <c r="I26" s="4">
        <f t="shared" si="0"/>
        <v>1.6099999999999999</v>
      </c>
      <c r="J26" s="4">
        <f t="shared" si="1"/>
        <v>2254</v>
      </c>
      <c r="L26">
        <v>15</v>
      </c>
      <c r="M26">
        <f>VLOOKUP(L26,Regolamento!A:B,2,1)</f>
        <v>26</v>
      </c>
      <c r="N26" s="4">
        <f t="shared" si="2"/>
        <v>1.8399999999999999</v>
      </c>
      <c r="O26" s="4">
        <f t="shared" si="3"/>
        <v>1.53</v>
      </c>
      <c r="P26" s="6">
        <f t="shared" si="4"/>
        <v>73.1952</v>
      </c>
      <c r="Q26" s="6"/>
      <c r="R26" s="6">
        <f t="shared" si="5"/>
        <v>16.666666666666668</v>
      </c>
      <c r="U26"/>
    </row>
    <row r="27" spans="1:21" x14ac:dyDescent="0.25">
      <c r="A27" s="8" t="s">
        <v>450</v>
      </c>
      <c r="B27" s="12" t="str">
        <f>VLOOKUP(A27,concorrenti!A:B,2,1)</f>
        <v>VAMS</v>
      </c>
      <c r="C27" s="12">
        <f>VLOOKUP(A27,concorrenti!A:E,5,1)</f>
        <v>0</v>
      </c>
      <c r="D27" t="s">
        <v>236</v>
      </c>
      <c r="E27" t="s">
        <v>473</v>
      </c>
      <c r="F27">
        <v>1962</v>
      </c>
      <c r="H27" s="77">
        <v>1396</v>
      </c>
      <c r="I27" s="4">
        <f t="shared" si="0"/>
        <v>1.62</v>
      </c>
      <c r="J27" s="4">
        <f t="shared" si="1"/>
        <v>2261.52</v>
      </c>
      <c r="L27">
        <v>16</v>
      </c>
      <c r="M27">
        <f>VLOOKUP(L27,Regolamento!A:B,2,1)</f>
        <v>25</v>
      </c>
      <c r="N27" s="4">
        <f t="shared" si="2"/>
        <v>1.8399999999999999</v>
      </c>
      <c r="O27" s="4">
        <f t="shared" si="3"/>
        <v>1.53</v>
      </c>
      <c r="P27" s="6">
        <f t="shared" si="4"/>
        <v>70.38</v>
      </c>
      <c r="Q27" s="6"/>
      <c r="R27" s="6">
        <f t="shared" si="5"/>
        <v>16.61904761904762</v>
      </c>
      <c r="U27"/>
    </row>
    <row r="28" spans="1:21" ht="14.25" x14ac:dyDescent="0.25">
      <c r="A28" s="8" t="s">
        <v>40</v>
      </c>
      <c r="B28" s="12" t="str">
        <f>VLOOKUP(A28,concorrenti!A:B,2,1)</f>
        <v>VAMS</v>
      </c>
      <c r="C28" s="12">
        <f>VLOOKUP(A28,concorrenti!A:E,5,1)</f>
        <v>0</v>
      </c>
      <c r="D28" t="s">
        <v>144</v>
      </c>
      <c r="E28" t="s">
        <v>475</v>
      </c>
      <c r="F28">
        <v>1957</v>
      </c>
      <c r="H28" s="77">
        <v>1890.8726114649685</v>
      </c>
      <c r="I28" s="4">
        <f t="shared" si="0"/>
        <v>1.5699999999999998</v>
      </c>
      <c r="J28" s="4">
        <f t="shared" si="1"/>
        <v>2968.67</v>
      </c>
      <c r="L28">
        <v>17</v>
      </c>
      <c r="M28">
        <f>VLOOKUP(L28,Regolamento!A:B,2,1)</f>
        <v>24</v>
      </c>
      <c r="N28" s="4">
        <f t="shared" si="2"/>
        <v>1.8399999999999999</v>
      </c>
      <c r="O28" s="4">
        <f t="shared" si="3"/>
        <v>1.53</v>
      </c>
      <c r="P28" s="6">
        <f t="shared" si="4"/>
        <v>67.564799999999991</v>
      </c>
      <c r="Q28" s="6"/>
      <c r="R28" s="6">
        <f t="shared" si="5"/>
        <v>22.510388231725816</v>
      </c>
      <c r="U28"/>
    </row>
    <row r="29" spans="1:21" ht="14.25" x14ac:dyDescent="0.25">
      <c r="A29" s="8" t="s">
        <v>82</v>
      </c>
      <c r="B29" s="12" t="str">
        <f>VLOOKUP(A29,concorrenti!A:B,2,1)</f>
        <v>VAMS</v>
      </c>
      <c r="C29" s="12">
        <f>VLOOKUP(A29,concorrenti!A:E,5,1)</f>
        <v>0</v>
      </c>
      <c r="D29" t="s">
        <v>235</v>
      </c>
      <c r="E29" s="70" t="s">
        <v>477</v>
      </c>
      <c r="F29">
        <v>1966</v>
      </c>
      <c r="H29" s="77">
        <v>2297.9999999999995</v>
      </c>
      <c r="I29" s="4">
        <f t="shared" si="0"/>
        <v>1.6600000000000001</v>
      </c>
      <c r="J29" s="4">
        <f t="shared" si="1"/>
        <v>3814.6799999999994</v>
      </c>
      <c r="L29">
        <v>18</v>
      </c>
      <c r="M29">
        <f>VLOOKUP(L29,Regolamento!A:B,2,1)</f>
        <v>23</v>
      </c>
      <c r="N29" s="4">
        <f t="shared" si="2"/>
        <v>1.8399999999999999</v>
      </c>
      <c r="O29" s="4">
        <f t="shared" si="3"/>
        <v>1.53</v>
      </c>
      <c r="P29" s="6">
        <f t="shared" si="4"/>
        <v>64.749599999999987</v>
      </c>
      <c r="Q29" s="6"/>
      <c r="R29" s="6">
        <f t="shared" si="5"/>
        <v>27.357142857142851</v>
      </c>
      <c r="U29"/>
    </row>
    <row r="30" spans="1:21" ht="14.25" x14ac:dyDescent="0.25">
      <c r="A30" s="8" t="s">
        <v>451</v>
      </c>
      <c r="B30" s="12" t="str">
        <f>VLOOKUP(A30,concorrenti!A:B,2,1)</f>
        <v>VAMS</v>
      </c>
      <c r="C30" s="12">
        <f>VLOOKUP(A30,concorrenti!A:E,5,1)</f>
        <v>0</v>
      </c>
      <c r="D30" t="s">
        <v>231</v>
      </c>
      <c r="E30" t="s">
        <v>476</v>
      </c>
      <c r="F30">
        <v>1962</v>
      </c>
      <c r="H30" s="77">
        <v>2651.9999999999995</v>
      </c>
      <c r="I30" s="4">
        <f t="shared" si="0"/>
        <v>1.62</v>
      </c>
      <c r="J30" s="4">
        <f t="shared" si="1"/>
        <v>4296.24</v>
      </c>
      <c r="L30">
        <v>19</v>
      </c>
      <c r="M30">
        <f>VLOOKUP(L30,Regolamento!A:B,2,1)</f>
        <v>22</v>
      </c>
      <c r="N30" s="4">
        <f t="shared" si="2"/>
        <v>1.8399999999999999</v>
      </c>
      <c r="O30" s="4">
        <f t="shared" si="3"/>
        <v>1.53</v>
      </c>
      <c r="P30" s="6">
        <f t="shared" si="4"/>
        <v>61.934399999999997</v>
      </c>
      <c r="Q30" s="6"/>
      <c r="R30" s="6">
        <f t="shared" si="5"/>
        <v>31.571428571428566</v>
      </c>
      <c r="U30"/>
    </row>
    <row r="31" spans="1:21" x14ac:dyDescent="0.25">
      <c r="A31" s="8" t="s">
        <v>455</v>
      </c>
      <c r="B31" s="12" t="str">
        <f>VLOOKUP(A31,concorrenti!A:B,2,1)</f>
        <v>VAMS</v>
      </c>
      <c r="C31" s="12">
        <f>VLOOKUP(A31,concorrenti!A:E,5,1)</f>
        <v>0</v>
      </c>
      <c r="D31" t="s">
        <v>236</v>
      </c>
      <c r="E31" t="s">
        <v>160</v>
      </c>
      <c r="F31">
        <v>1959</v>
      </c>
      <c r="H31" s="77">
        <v>3452.0000000000005</v>
      </c>
      <c r="I31" s="4">
        <f t="shared" si="0"/>
        <v>1.5899999999999999</v>
      </c>
      <c r="J31" s="4">
        <f t="shared" si="1"/>
        <v>5488.68</v>
      </c>
      <c r="L31">
        <v>20</v>
      </c>
      <c r="M31">
        <f>VLOOKUP(L31,Regolamento!A:B,2,1)</f>
        <v>21</v>
      </c>
      <c r="N31" s="4">
        <f t="shared" si="2"/>
        <v>1.8399999999999999</v>
      </c>
      <c r="O31" s="4">
        <f t="shared" si="3"/>
        <v>1.53</v>
      </c>
      <c r="P31" s="6">
        <f t="shared" si="4"/>
        <v>59.119199999999999</v>
      </c>
      <c r="Q31" s="6"/>
      <c r="R31" s="6">
        <f t="shared" si="5"/>
        <v>41.095238095238102</v>
      </c>
      <c r="U31"/>
    </row>
    <row r="32" spans="1:21" x14ac:dyDescent="0.25">
      <c r="A32" s="8" t="s">
        <v>452</v>
      </c>
      <c r="B32" s="12" t="str">
        <f>VLOOKUP(A32,concorrenti!A:B,2,1)</f>
        <v>VAMS</v>
      </c>
      <c r="C32" s="12">
        <f>VLOOKUP(A32,concorrenti!A:E,5,1)</f>
        <v>0</v>
      </c>
      <c r="D32" t="s">
        <v>242</v>
      </c>
      <c r="E32" t="s">
        <v>341</v>
      </c>
      <c r="F32">
        <v>1968</v>
      </c>
      <c r="H32" s="77">
        <v>3426</v>
      </c>
      <c r="I32" s="4">
        <f t="shared" si="0"/>
        <v>1.6800000000000002</v>
      </c>
      <c r="J32" s="4">
        <f t="shared" si="1"/>
        <v>5755.68</v>
      </c>
      <c r="L32">
        <v>21</v>
      </c>
      <c r="M32">
        <f>VLOOKUP(L32,Regolamento!A:B,2,1)</f>
        <v>20</v>
      </c>
      <c r="N32" s="4">
        <f t="shared" si="2"/>
        <v>1.8399999999999999</v>
      </c>
      <c r="O32" s="4">
        <f t="shared" si="3"/>
        <v>1.53</v>
      </c>
      <c r="P32" s="6">
        <f t="shared" si="4"/>
        <v>56.303999999999995</v>
      </c>
      <c r="Q32" s="6"/>
      <c r="R32" s="6">
        <f t="shared" si="5"/>
        <v>40.785714285714285</v>
      </c>
      <c r="U32"/>
    </row>
    <row r="33" spans="1:21" ht="14.25" x14ac:dyDescent="0.25">
      <c r="A33" s="8" t="s">
        <v>453</v>
      </c>
      <c r="B33" s="12" t="str">
        <f>VLOOKUP(A33,concorrenti!A:B,2,1)</f>
        <v>GAMS</v>
      </c>
      <c r="C33" s="12" t="str">
        <f>VLOOKUP(A33,concorrenti!A:E,5,1)</f>
        <v>X</v>
      </c>
      <c r="D33" t="s">
        <v>235</v>
      </c>
      <c r="E33" t="s">
        <v>127</v>
      </c>
      <c r="F33">
        <v>1964</v>
      </c>
      <c r="G33" s="8"/>
      <c r="H33" s="77">
        <v>5998.0519480519479</v>
      </c>
      <c r="I33" s="4">
        <f t="shared" si="0"/>
        <v>1.54</v>
      </c>
      <c r="J33" s="4">
        <f t="shared" si="1"/>
        <v>9237</v>
      </c>
      <c r="L33">
        <v>22</v>
      </c>
      <c r="M33">
        <f>VLOOKUP(L33,Regolamento!A:B,2,1)</f>
        <v>19</v>
      </c>
      <c r="N33" s="4">
        <f t="shared" si="2"/>
        <v>1.8399999999999999</v>
      </c>
      <c r="O33" s="4">
        <f t="shared" si="3"/>
        <v>1.53</v>
      </c>
      <c r="P33" s="6">
        <f t="shared" si="4"/>
        <v>53.488799999999991</v>
      </c>
      <c r="Q33" s="6"/>
      <c r="R33" s="6">
        <f t="shared" si="5"/>
        <v>71.405380333951754</v>
      </c>
      <c r="U33"/>
    </row>
    <row r="34" spans="1:21" ht="14.25" x14ac:dyDescent="0.25">
      <c r="A34" s="8" t="s">
        <v>456</v>
      </c>
      <c r="B34" s="12" t="str">
        <f>VLOOKUP(A34,concorrenti!A:B,2,1)</f>
        <v>VAMS</v>
      </c>
      <c r="C34" s="12">
        <f>VLOOKUP(A34,concorrenti!A:E,5,1)</f>
        <v>0</v>
      </c>
      <c r="D34" t="s">
        <v>144</v>
      </c>
      <c r="E34" t="s">
        <v>33</v>
      </c>
      <c r="F34">
        <v>1961</v>
      </c>
      <c r="H34" s="77">
        <v>6842.0000000000009</v>
      </c>
      <c r="I34" s="4">
        <f t="shared" si="0"/>
        <v>1.6099999999999999</v>
      </c>
      <c r="J34" s="4">
        <f t="shared" si="1"/>
        <v>11015.62</v>
      </c>
      <c r="L34">
        <v>23</v>
      </c>
      <c r="M34">
        <f>VLOOKUP(L34,Regolamento!A:B,2,1)</f>
        <v>18</v>
      </c>
      <c r="N34" s="4">
        <f t="shared" si="2"/>
        <v>1.8399999999999999</v>
      </c>
      <c r="O34" s="4">
        <f t="shared" si="3"/>
        <v>1.53</v>
      </c>
      <c r="P34" s="6">
        <f t="shared" si="4"/>
        <v>50.6736</v>
      </c>
      <c r="Q34" s="6"/>
      <c r="R34" s="6">
        <f t="shared" si="5"/>
        <v>81.452380952380963</v>
      </c>
      <c r="U34"/>
    </row>
    <row r="35" spans="1:21" ht="14.25" x14ac:dyDescent="0.25">
      <c r="A35" s="8" t="s">
        <v>457</v>
      </c>
      <c r="B35" s="12" t="str">
        <f>VLOOKUP(A35,concorrenti!A:B,2,1)</f>
        <v>GAMS</v>
      </c>
      <c r="C35" s="12">
        <f>VLOOKUP(A35,concorrenti!A:E,5,1)</f>
        <v>0</v>
      </c>
      <c r="D35" t="s">
        <v>232</v>
      </c>
      <c r="E35" t="s">
        <v>478</v>
      </c>
      <c r="F35">
        <v>1942</v>
      </c>
      <c r="G35" s="9"/>
      <c r="H35" s="77">
        <v>8094</v>
      </c>
      <c r="I35" s="4">
        <f t="shared" si="0"/>
        <v>1.42</v>
      </c>
      <c r="J35" s="4">
        <f t="shared" si="1"/>
        <v>11493.48</v>
      </c>
      <c r="L35">
        <v>24</v>
      </c>
      <c r="M35">
        <f>VLOOKUP(L35,Regolamento!A:B,2,1)</f>
        <v>17</v>
      </c>
      <c r="N35" s="4">
        <f t="shared" si="2"/>
        <v>1.8399999999999999</v>
      </c>
      <c r="O35" s="4">
        <f t="shared" si="3"/>
        <v>1.53</v>
      </c>
      <c r="P35" s="6">
        <f t="shared" si="4"/>
        <v>47.858399999999996</v>
      </c>
      <c r="Q35" s="6"/>
      <c r="R35" s="6">
        <f t="shared" si="5"/>
        <v>96.357142857142861</v>
      </c>
      <c r="U35"/>
    </row>
    <row r="36" spans="1:21" ht="14.25" x14ac:dyDescent="0.25">
      <c r="A36" s="8" t="s">
        <v>458</v>
      </c>
      <c r="B36" s="12" t="str">
        <f>VLOOKUP(A36,concorrenti!A:B,2,1)</f>
        <v>GAMS</v>
      </c>
      <c r="C36" s="12">
        <f>VLOOKUP(A36,concorrenti!A:E,5,1)</f>
        <v>0</v>
      </c>
      <c r="D36" t="s">
        <v>232</v>
      </c>
      <c r="E36" t="s">
        <v>462</v>
      </c>
      <c r="F36">
        <v>1966</v>
      </c>
      <c r="H36" s="77">
        <v>9364.9999999999982</v>
      </c>
      <c r="I36" s="4">
        <f t="shared" si="0"/>
        <v>1.6600000000000001</v>
      </c>
      <c r="J36" s="4">
        <f t="shared" si="1"/>
        <v>15545.899999999998</v>
      </c>
      <c r="L36">
        <v>25</v>
      </c>
      <c r="M36">
        <f>VLOOKUP(L36,Regolamento!A:B,2,1)</f>
        <v>16</v>
      </c>
      <c r="N36" s="4">
        <f t="shared" si="2"/>
        <v>1.8399999999999999</v>
      </c>
      <c r="O36" s="4">
        <f t="shared" si="3"/>
        <v>1.53</v>
      </c>
      <c r="P36" s="6">
        <f t="shared" si="4"/>
        <v>45.043199999999999</v>
      </c>
      <c r="Q36" s="6"/>
      <c r="R36" s="6">
        <f t="shared" si="5"/>
        <v>111.48809523809521</v>
      </c>
      <c r="U36"/>
    </row>
    <row r="37" spans="1:21" ht="14.25" x14ac:dyDescent="0.25">
      <c r="A37" s="8" t="s">
        <v>394</v>
      </c>
      <c r="B37" s="12" t="str">
        <f>VLOOKUP(A37,concorrenti!A:B,2,1)</f>
        <v>GAMS</v>
      </c>
      <c r="C37" s="12">
        <f>VLOOKUP(A37,concorrenti!A:E,5,1)</f>
        <v>0</v>
      </c>
      <c r="D37" t="s">
        <v>236</v>
      </c>
      <c r="E37" t="s">
        <v>479</v>
      </c>
      <c r="F37">
        <v>1960</v>
      </c>
      <c r="H37" s="77">
        <v>11194</v>
      </c>
      <c r="I37" s="4">
        <f t="shared" si="0"/>
        <v>1.6</v>
      </c>
      <c r="J37" s="4">
        <f t="shared" si="1"/>
        <v>17910.400000000001</v>
      </c>
      <c r="L37">
        <v>26</v>
      </c>
      <c r="M37">
        <f>VLOOKUP(L37,Regolamento!A:B,2,1)</f>
        <v>15</v>
      </c>
      <c r="N37" s="4">
        <f t="shared" si="2"/>
        <v>1.8399999999999999</v>
      </c>
      <c r="O37" s="4">
        <f t="shared" si="3"/>
        <v>1.53</v>
      </c>
      <c r="P37" s="6">
        <f t="shared" si="4"/>
        <v>42.227999999999994</v>
      </c>
      <c r="Q37" s="6"/>
      <c r="R37" s="6">
        <f t="shared" si="5"/>
        <v>133.26190476190476</v>
      </c>
      <c r="U37"/>
    </row>
    <row r="38" spans="1:21" ht="14.25" x14ac:dyDescent="0.25">
      <c r="A38" s="8" t="s">
        <v>459</v>
      </c>
      <c r="B38" s="12" t="str">
        <f>VLOOKUP(A38,concorrenti!A:B,2,1)</f>
        <v>VAMS</v>
      </c>
      <c r="C38" s="12">
        <f>VLOOKUP(A38,concorrenti!A:E,5,1)</f>
        <v>0</v>
      </c>
      <c r="D38" t="s">
        <v>231</v>
      </c>
      <c r="E38" t="s">
        <v>480</v>
      </c>
      <c r="F38">
        <v>1961</v>
      </c>
      <c r="H38" s="77">
        <v>11698.136645962733</v>
      </c>
      <c r="I38" s="4">
        <f t="shared" si="0"/>
        <v>1.6099999999999999</v>
      </c>
      <c r="J38" s="4">
        <f t="shared" si="1"/>
        <v>18834</v>
      </c>
      <c r="L38">
        <v>27</v>
      </c>
      <c r="M38">
        <f>VLOOKUP(L38,Regolamento!A:B,2,1)</f>
        <v>14</v>
      </c>
      <c r="N38" s="4">
        <f t="shared" si="2"/>
        <v>1.8399999999999999</v>
      </c>
      <c r="O38" s="4">
        <f t="shared" si="3"/>
        <v>1.53</v>
      </c>
      <c r="P38" s="6">
        <f t="shared" si="4"/>
        <v>39.412799999999997</v>
      </c>
      <c r="Q38" s="6"/>
      <c r="R38" s="6">
        <f t="shared" si="5"/>
        <v>139.26353149955634</v>
      </c>
      <c r="U38"/>
    </row>
    <row r="39" spans="1:21" x14ac:dyDescent="0.25">
      <c r="A39" s="8" t="s">
        <v>460</v>
      </c>
      <c r="B39" s="12" t="str">
        <f>VLOOKUP(A39,concorrenti!A:B,2,1)</f>
        <v>VAMS</v>
      </c>
      <c r="C39" s="12">
        <f>VLOOKUP(A39,concorrenti!A:E,5,1)</f>
        <v>0</v>
      </c>
      <c r="D39" t="s">
        <v>230</v>
      </c>
      <c r="E39" t="s">
        <v>482</v>
      </c>
      <c r="F39">
        <v>1978</v>
      </c>
      <c r="H39" s="77">
        <v>56179.213483146064</v>
      </c>
      <c r="I39" s="4">
        <f t="shared" si="0"/>
        <v>1.78</v>
      </c>
      <c r="J39" s="4">
        <f t="shared" si="1"/>
        <v>99999</v>
      </c>
      <c r="L39">
        <v>28</v>
      </c>
      <c r="M39">
        <f>VLOOKUP(L39,Regolamento!A:B,2,1)</f>
        <v>13</v>
      </c>
      <c r="N39" s="4">
        <f t="shared" si="2"/>
        <v>1.8399999999999999</v>
      </c>
      <c r="O39" s="4">
        <f t="shared" si="3"/>
        <v>1.53</v>
      </c>
      <c r="P39" s="6">
        <f t="shared" si="4"/>
        <v>36.5976</v>
      </c>
      <c r="Q39" s="6"/>
      <c r="R39" s="6">
        <f t="shared" si="5"/>
        <v>668.80016051364362</v>
      </c>
      <c r="U39"/>
    </row>
    <row r="40" spans="1:21" x14ac:dyDescent="0.25">
      <c r="A40" s="8" t="s">
        <v>388</v>
      </c>
      <c r="B40" s="12" t="str">
        <f>VLOOKUP(A40,concorrenti!A:B,2,1)</f>
        <v>GAMS</v>
      </c>
      <c r="C40" s="12">
        <f>VLOOKUP(A40,concorrenti!A:E,5,1)</f>
        <v>0</v>
      </c>
      <c r="D40" t="s">
        <v>241</v>
      </c>
      <c r="E40" t="s">
        <v>481</v>
      </c>
      <c r="F40">
        <v>1953</v>
      </c>
      <c r="H40" s="77">
        <v>65358.823529411762</v>
      </c>
      <c r="I40" s="4">
        <f t="shared" si="0"/>
        <v>1.53</v>
      </c>
      <c r="J40" s="4">
        <f t="shared" si="1"/>
        <v>99999</v>
      </c>
      <c r="L40">
        <v>29</v>
      </c>
      <c r="M40">
        <f>VLOOKUP(L40,Regolamento!A:B,2,1)</f>
        <v>12</v>
      </c>
      <c r="N40" s="4">
        <f t="shared" si="2"/>
        <v>1.8399999999999999</v>
      </c>
      <c r="O40" s="4">
        <f t="shared" si="3"/>
        <v>1.53</v>
      </c>
      <c r="P40" s="6">
        <f t="shared" si="4"/>
        <v>33.782399999999996</v>
      </c>
      <c r="Q40" s="6"/>
      <c r="R40" s="6">
        <f t="shared" si="5"/>
        <v>778.08123249299717</v>
      </c>
      <c r="U40"/>
    </row>
    <row r="41" spans="1:21" x14ac:dyDescent="0.25">
      <c r="A41" s="8" t="s">
        <v>454</v>
      </c>
      <c r="B41" s="12" t="str">
        <f>VLOOKUP(A41,concorrenti!A:B,2,1)</f>
        <v>CAVEM</v>
      </c>
      <c r="C41" s="12">
        <f>VLOOKUP(A41,concorrenti!A:E,5,1)</f>
        <v>0</v>
      </c>
      <c r="D41" t="s">
        <v>144</v>
      </c>
      <c r="E41" t="s">
        <v>274</v>
      </c>
      <c r="F41">
        <v>1937</v>
      </c>
      <c r="H41" s="77">
        <v>72991.970802919706</v>
      </c>
      <c r="I41" s="4">
        <f t="shared" si="0"/>
        <v>1.37</v>
      </c>
      <c r="J41" s="4">
        <f t="shared" si="1"/>
        <v>99999</v>
      </c>
      <c r="L41">
        <v>30</v>
      </c>
      <c r="M41">
        <f>VLOOKUP(L41,Regolamento!A:B,2,1)</f>
        <v>11</v>
      </c>
      <c r="N41" s="4">
        <f t="shared" si="2"/>
        <v>1.8399999999999999</v>
      </c>
      <c r="O41" s="4">
        <f t="shared" si="3"/>
        <v>1.53</v>
      </c>
      <c r="P41" s="6">
        <f t="shared" si="4"/>
        <v>30.967199999999998</v>
      </c>
      <c r="Q41" s="6"/>
      <c r="R41" s="6">
        <f t="shared" si="5"/>
        <v>868.95203336809175</v>
      </c>
      <c r="U41"/>
    </row>
    <row r="42" spans="1:21" x14ac:dyDescent="0.25">
      <c r="H42" s="95"/>
    </row>
    <row r="43" spans="1:21" x14ac:dyDescent="0.25">
      <c r="H43" s="95"/>
      <c r="P43" s="10">
        <f>SUM(P12:P42)</f>
        <v>2209.9320000000007</v>
      </c>
      <c r="Q43" s="10"/>
      <c r="R43" s="10"/>
    </row>
    <row r="44" spans="1:21" x14ac:dyDescent="0.25">
      <c r="P44" s="10">
        <f>+Generale!L3-P43</f>
        <v>0</v>
      </c>
      <c r="Q44" s="10"/>
      <c r="R44" s="10"/>
    </row>
  </sheetData>
  <sheetProtection algorithmName="SHA-512" hashValue="SA+dLLoNzYBUwnMo2pjw8w4JVjqHoGy9xgwdUidku39gf9TwiPSEfNUayoslWbkAQEXzLDDB9f3+ot6Xd0WKxQ==" saltValue="c128qOz5qb/amlCWOKRAwA==" spinCount="100000" sheet="1" objects="1" scenarios="1"/>
  <sortState xmlns:xlrd2="http://schemas.microsoft.com/office/spreadsheetml/2017/richdata2" ref="A12:J41">
    <sortCondition ref="J12:J41"/>
  </sortState>
  <mergeCells count="3">
    <mergeCell ref="H1:P1"/>
    <mergeCell ref="H8:J8"/>
    <mergeCell ref="N8:O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839AA-E0E5-4AD2-A4D0-6AE81C1ED144}">
  <sheetPr>
    <tabColor rgb="FF92D050"/>
  </sheetPr>
  <dimension ref="A1:V73"/>
  <sheetViews>
    <sheetView workbookViewId="0">
      <selection activeCell="T9" sqref="T9:T10"/>
    </sheetView>
  </sheetViews>
  <sheetFormatPr defaultRowHeight="15" x14ac:dyDescent="0.25"/>
  <cols>
    <col min="1" max="1" width="23.140625" bestFit="1" customWidth="1"/>
    <col min="2" max="2" width="20.5703125" bestFit="1" customWidth="1"/>
    <col min="3" max="3" width="9.85546875" bestFit="1" customWidth="1"/>
    <col min="4" max="4" width="12.28515625" bestFit="1" customWidth="1"/>
    <col min="5" max="5" width="16" bestFit="1" customWidth="1"/>
    <col min="6" max="6" width="5.7109375" bestFit="1" customWidth="1"/>
    <col min="7" max="7" width="2.42578125" customWidth="1"/>
    <col min="8" max="8" width="12" bestFit="1" customWidth="1"/>
    <col min="9" max="9" width="9.7109375" style="4" bestFit="1" customWidth="1"/>
    <col min="10" max="10" width="13.28515625" style="4" bestFit="1" customWidth="1"/>
    <col min="11" max="11" width="3" customWidth="1"/>
    <col min="12" max="13" width="5.7109375" bestFit="1" customWidth="1"/>
    <col min="14" max="14" width="6.140625" bestFit="1" customWidth="1"/>
    <col min="15" max="15" width="8.140625" bestFit="1" customWidth="1"/>
    <col min="16" max="16" width="9.5703125" bestFit="1" customWidth="1"/>
    <col min="17" max="17" width="3.42578125" customWidth="1"/>
    <col min="18" max="18" width="8.42578125" bestFit="1" customWidth="1"/>
    <col min="19" max="19" width="9.42578125" bestFit="1" customWidth="1"/>
    <col min="20" max="20" width="19.140625" bestFit="1" customWidth="1"/>
  </cols>
  <sheetData>
    <row r="1" spans="1:22" ht="15.75" x14ac:dyDescent="0.25">
      <c r="A1" t="s">
        <v>47</v>
      </c>
      <c r="H1" s="141" t="s">
        <v>110</v>
      </c>
      <c r="I1" s="141"/>
      <c r="J1" s="141"/>
      <c r="K1" s="141"/>
      <c r="L1" s="141"/>
      <c r="M1" s="141"/>
      <c r="N1" s="141"/>
      <c r="O1" s="141"/>
      <c r="P1" s="141"/>
      <c r="T1" t="s">
        <v>175</v>
      </c>
      <c r="U1" s="4">
        <v>428.06</v>
      </c>
      <c r="V1">
        <v>15</v>
      </c>
    </row>
    <row r="2" spans="1:22" x14ac:dyDescent="0.25">
      <c r="A2" t="s">
        <v>48</v>
      </c>
      <c r="E2" s="35">
        <v>45207</v>
      </c>
      <c r="T2" t="s">
        <v>98</v>
      </c>
      <c r="U2" s="4">
        <v>371.62</v>
      </c>
      <c r="V2">
        <v>12</v>
      </c>
    </row>
    <row r="3" spans="1:22" x14ac:dyDescent="0.25">
      <c r="A3" t="s">
        <v>65</v>
      </c>
      <c r="E3" s="35" t="s">
        <v>106</v>
      </c>
      <c r="T3" t="s">
        <v>99</v>
      </c>
      <c r="U3" s="4">
        <v>294</v>
      </c>
      <c r="V3">
        <v>10</v>
      </c>
    </row>
    <row r="4" spans="1:22" x14ac:dyDescent="0.25">
      <c r="A4" t="s">
        <v>52</v>
      </c>
      <c r="E4" s="1" t="s">
        <v>539</v>
      </c>
      <c r="T4" t="s">
        <v>66</v>
      </c>
      <c r="U4" s="4">
        <v>284.58999999999997</v>
      </c>
      <c r="V4">
        <v>8</v>
      </c>
    </row>
    <row r="5" spans="1:22" x14ac:dyDescent="0.25">
      <c r="A5" t="s">
        <v>50</v>
      </c>
      <c r="E5" s="1">
        <f>51-4</f>
        <v>47</v>
      </c>
      <c r="T5" t="s">
        <v>68</v>
      </c>
      <c r="U5" s="4">
        <v>191.69</v>
      </c>
      <c r="V5">
        <v>7</v>
      </c>
    </row>
    <row r="6" spans="1:22" x14ac:dyDescent="0.25">
      <c r="A6" t="s">
        <v>51</v>
      </c>
      <c r="E6" s="1">
        <v>60</v>
      </c>
      <c r="T6" t="s">
        <v>100</v>
      </c>
      <c r="U6" s="4">
        <v>43.51</v>
      </c>
      <c r="V6">
        <v>6</v>
      </c>
    </row>
    <row r="7" spans="1:22" x14ac:dyDescent="0.25">
      <c r="D7" s="1"/>
      <c r="T7" t="s">
        <v>376</v>
      </c>
      <c r="U7" s="4">
        <v>4.7</v>
      </c>
      <c r="V7">
        <v>5</v>
      </c>
    </row>
    <row r="8" spans="1:22" x14ac:dyDescent="0.25">
      <c r="A8" s="36" t="s">
        <v>44</v>
      </c>
      <c r="B8" s="74" t="s">
        <v>483</v>
      </c>
      <c r="C8" s="74" t="s">
        <v>46</v>
      </c>
      <c r="D8" s="18" t="s">
        <v>55</v>
      </c>
      <c r="E8" s="18" t="s">
        <v>56</v>
      </c>
      <c r="F8" s="19" t="s">
        <v>57</v>
      </c>
      <c r="H8" s="142" t="s">
        <v>53</v>
      </c>
      <c r="I8" s="140"/>
      <c r="J8" s="143"/>
      <c r="K8" s="2"/>
      <c r="L8" s="27" t="s">
        <v>54</v>
      </c>
      <c r="M8" s="30"/>
      <c r="N8" s="140" t="s">
        <v>8</v>
      </c>
      <c r="O8" s="140"/>
      <c r="P8" s="31"/>
      <c r="T8" t="s">
        <v>171</v>
      </c>
      <c r="U8" s="4">
        <v>2.35</v>
      </c>
      <c r="V8">
        <v>4</v>
      </c>
    </row>
    <row r="9" spans="1:22" x14ac:dyDescent="0.25">
      <c r="H9" s="20" t="s">
        <v>36</v>
      </c>
      <c r="I9" s="21" t="s">
        <v>38</v>
      </c>
      <c r="J9" s="22" t="s">
        <v>0</v>
      </c>
      <c r="K9" s="7"/>
      <c r="L9" s="28"/>
      <c r="M9" s="32" t="s">
        <v>0</v>
      </c>
      <c r="N9" s="21" t="s">
        <v>9</v>
      </c>
      <c r="O9" s="21" t="s">
        <v>5</v>
      </c>
      <c r="P9" s="33" t="s">
        <v>11</v>
      </c>
    </row>
    <row r="10" spans="1:22" x14ac:dyDescent="0.25">
      <c r="H10" s="23" t="s">
        <v>37</v>
      </c>
      <c r="I10" s="24"/>
      <c r="J10" s="25" t="s">
        <v>39</v>
      </c>
      <c r="K10" s="6"/>
      <c r="L10" s="29"/>
      <c r="M10" s="34"/>
      <c r="N10" s="24"/>
      <c r="O10" s="24"/>
      <c r="P10" s="25"/>
      <c r="R10" s="7" t="s">
        <v>169</v>
      </c>
    </row>
    <row r="12" spans="1:22" x14ac:dyDescent="0.25">
      <c r="A12" s="8" t="s">
        <v>222</v>
      </c>
      <c r="B12" s="12" t="str">
        <f>VLOOKUP(A12,concorrenti!A:B,2,0)</f>
        <v>VCC COMO</v>
      </c>
      <c r="C12" s="12">
        <f>VLOOKUP(A12,concorrenti!A:E,5,1)</f>
        <v>0</v>
      </c>
      <c r="D12" t="s">
        <v>121</v>
      </c>
      <c r="E12" t="s">
        <v>273</v>
      </c>
      <c r="F12">
        <v>1956</v>
      </c>
      <c r="H12" s="4">
        <v>134</v>
      </c>
      <c r="I12" s="4">
        <f>1+RIGHT(F12,2)/100</f>
        <v>1.56</v>
      </c>
      <c r="J12" s="4">
        <f t="shared" ref="J12:J43" si="0">+I12*H12</f>
        <v>209.04000000000002</v>
      </c>
      <c r="L12">
        <v>1</v>
      </c>
      <c r="M12">
        <f>VLOOKUP(L12,Regolamento!A:B,2,1)</f>
        <v>50</v>
      </c>
      <c r="N12" s="4">
        <f t="shared" ref="N12:N43" si="1">1+E$5/100</f>
        <v>1.47</v>
      </c>
      <c r="O12" s="4">
        <f t="shared" ref="O12:O43" si="2">1+E$6/100</f>
        <v>1.6</v>
      </c>
      <c r="P12" s="6">
        <f>IF(H12&lt;&gt;0,+M12*N12*O12,0)</f>
        <v>117.60000000000001</v>
      </c>
      <c r="R12" s="6">
        <f>+H12/E$5</f>
        <v>2.8510638297872339</v>
      </c>
    </row>
    <row r="13" spans="1:22" x14ac:dyDescent="0.25">
      <c r="A13" s="8" t="s">
        <v>15</v>
      </c>
      <c r="B13" s="12" t="str">
        <f>VLOOKUP(A13,concorrenti!A:B,2,0)</f>
        <v>OROBICO</v>
      </c>
      <c r="C13" s="12">
        <f>VLOOKUP(A13,concorrenti!A:E,5,1)</f>
        <v>0</v>
      </c>
      <c r="D13" t="s">
        <v>235</v>
      </c>
      <c r="E13" t="s">
        <v>505</v>
      </c>
      <c r="F13">
        <v>1956</v>
      </c>
      <c r="H13" s="4">
        <v>212</v>
      </c>
      <c r="I13" s="4">
        <f>1+RIGHT(F13,2)/100</f>
        <v>1.56</v>
      </c>
      <c r="J13" s="4">
        <f t="shared" si="0"/>
        <v>330.72</v>
      </c>
      <c r="L13">
        <v>2</v>
      </c>
      <c r="M13">
        <f>VLOOKUP(L13,Regolamento!A:B,2,1)</f>
        <v>45</v>
      </c>
      <c r="N13" s="4">
        <f t="shared" si="1"/>
        <v>1.47</v>
      </c>
      <c r="O13" s="4">
        <f t="shared" si="2"/>
        <v>1.6</v>
      </c>
      <c r="P13" s="6">
        <f t="shared" ref="P13:P64" si="3">IF(H13&lt;&gt;0,+M13*N13*O13,0)</f>
        <v>105.84000000000002</v>
      </c>
      <c r="R13" s="6">
        <f t="shared" ref="R13:R65" si="4">+H13/E$5</f>
        <v>4.5106382978723403</v>
      </c>
    </row>
    <row r="14" spans="1:22" x14ac:dyDescent="0.25">
      <c r="A14" s="8" t="s">
        <v>69</v>
      </c>
      <c r="B14" s="12" t="str">
        <f>VLOOKUP(A14,concorrenti!A:B,2,0)</f>
        <v>CASTELLOTTI</v>
      </c>
      <c r="C14" s="12">
        <f>VLOOKUP(A14,concorrenti!A:E,5,1)</f>
        <v>0</v>
      </c>
      <c r="D14" t="s">
        <v>121</v>
      </c>
      <c r="E14" t="s">
        <v>371</v>
      </c>
      <c r="F14">
        <v>1980</v>
      </c>
      <c r="H14" s="4">
        <v>191</v>
      </c>
      <c r="I14" s="4">
        <f>1+RIGHT(F14,2)/100</f>
        <v>1.8</v>
      </c>
      <c r="J14" s="4">
        <f t="shared" si="0"/>
        <v>343.8</v>
      </c>
      <c r="L14">
        <v>3</v>
      </c>
      <c r="M14">
        <f>VLOOKUP(L14,Regolamento!A:B,2,1)</f>
        <v>41</v>
      </c>
      <c r="N14" s="4">
        <f t="shared" si="1"/>
        <v>1.47</v>
      </c>
      <c r="O14" s="4">
        <f t="shared" si="2"/>
        <v>1.6</v>
      </c>
      <c r="P14" s="6">
        <f t="shared" si="3"/>
        <v>96.432000000000002</v>
      </c>
      <c r="R14" s="6">
        <f t="shared" si="4"/>
        <v>4.0638297872340425</v>
      </c>
    </row>
    <row r="15" spans="1:22" x14ac:dyDescent="0.25">
      <c r="A15" s="8" t="s">
        <v>226</v>
      </c>
      <c r="B15" s="12" t="str">
        <f>VLOOKUP(A15,concorrenti!A:B,2,0)</f>
        <v>VCC COMO</v>
      </c>
      <c r="C15" s="12" t="str">
        <f>VLOOKUP(A15,concorrenti!A:E,5,1)</f>
        <v>X</v>
      </c>
      <c r="D15" t="s">
        <v>234</v>
      </c>
      <c r="E15" t="s">
        <v>292</v>
      </c>
      <c r="F15">
        <v>1972</v>
      </c>
      <c r="H15" s="4">
        <v>221</v>
      </c>
      <c r="I15" s="4">
        <f>1+RIGHT(F15,2)/100-0.1</f>
        <v>1.6199999999999999</v>
      </c>
      <c r="J15" s="4">
        <f t="shared" si="0"/>
        <v>358.02</v>
      </c>
      <c r="L15">
        <v>4</v>
      </c>
      <c r="M15">
        <f>VLOOKUP(L15,Regolamento!A:B,2,1)</f>
        <v>38</v>
      </c>
      <c r="N15" s="4">
        <f t="shared" si="1"/>
        <v>1.47</v>
      </c>
      <c r="O15" s="4">
        <f t="shared" si="2"/>
        <v>1.6</v>
      </c>
      <c r="P15" s="6">
        <f t="shared" si="3"/>
        <v>89.376000000000005</v>
      </c>
      <c r="R15" s="6">
        <f t="shared" si="4"/>
        <v>4.7021276595744679</v>
      </c>
    </row>
    <row r="16" spans="1:22" x14ac:dyDescent="0.25">
      <c r="A16" s="8" t="s">
        <v>217</v>
      </c>
      <c r="B16" s="12" t="str">
        <f>VLOOKUP(A16,concorrenti!A:B,2,0)</f>
        <v>OROBICO</v>
      </c>
      <c r="C16" s="12" t="str">
        <f>VLOOKUP(A16,concorrenti!A:E,5,1)</f>
        <v>X</v>
      </c>
      <c r="D16" t="s">
        <v>232</v>
      </c>
      <c r="E16" t="s">
        <v>282</v>
      </c>
      <c r="F16">
        <v>1972</v>
      </c>
      <c r="H16" s="4">
        <v>223.22093023255815</v>
      </c>
      <c r="I16" s="4">
        <f>1+RIGHT(F16,2)/100-0.1</f>
        <v>1.6199999999999999</v>
      </c>
      <c r="J16" s="4">
        <f t="shared" si="0"/>
        <v>361.61790697674417</v>
      </c>
      <c r="L16">
        <v>5</v>
      </c>
      <c r="M16">
        <f>VLOOKUP(L16,Regolamento!A:B,2,1)</f>
        <v>36</v>
      </c>
      <c r="N16" s="4">
        <f t="shared" si="1"/>
        <v>1.47</v>
      </c>
      <c r="O16" s="4">
        <f t="shared" si="2"/>
        <v>1.6</v>
      </c>
      <c r="P16" s="6">
        <f t="shared" si="3"/>
        <v>84.672000000000011</v>
      </c>
      <c r="R16" s="6">
        <f t="shared" si="4"/>
        <v>4.7493814943097474</v>
      </c>
    </row>
    <row r="17" spans="1:19" x14ac:dyDescent="0.25">
      <c r="A17" s="8" t="s">
        <v>21</v>
      </c>
      <c r="B17" s="12" t="str">
        <f>VLOOKUP(A17,concorrenti!A:B,2,0)</f>
        <v>CAVEM</v>
      </c>
      <c r="C17" s="12">
        <f>VLOOKUP(A17,concorrenti!A:E,5,1)</f>
        <v>0</v>
      </c>
      <c r="D17" t="s">
        <v>121</v>
      </c>
      <c r="E17" t="s">
        <v>122</v>
      </c>
      <c r="F17">
        <v>1972</v>
      </c>
      <c r="H17" s="4">
        <v>229</v>
      </c>
      <c r="I17" s="4">
        <f t="shared" ref="I17:I38" si="5">1+RIGHT(F17,2)/100</f>
        <v>1.72</v>
      </c>
      <c r="J17" s="4">
        <f t="shared" si="0"/>
        <v>393.88</v>
      </c>
      <c r="K17" s="9"/>
      <c r="L17">
        <v>6</v>
      </c>
      <c r="M17">
        <f>VLOOKUP(L17,Regolamento!A:B,2,1)</f>
        <v>35</v>
      </c>
      <c r="N17" s="4">
        <f t="shared" si="1"/>
        <v>1.47</v>
      </c>
      <c r="O17" s="4">
        <f t="shared" si="2"/>
        <v>1.6</v>
      </c>
      <c r="P17" s="6">
        <f t="shared" si="3"/>
        <v>82.32</v>
      </c>
      <c r="R17" s="6">
        <f t="shared" si="4"/>
        <v>4.8723404255319149</v>
      </c>
    </row>
    <row r="18" spans="1:19" x14ac:dyDescent="0.25">
      <c r="A18" s="8" t="s">
        <v>224</v>
      </c>
      <c r="B18" s="12" t="str">
        <f>VLOOKUP(A18,concorrenti!A:B,2,0)</f>
        <v>VCC COMO</v>
      </c>
      <c r="C18" s="12">
        <f>VLOOKUP(A18,concorrenti!A:E,5,1)</f>
        <v>0</v>
      </c>
      <c r="D18" t="s">
        <v>244</v>
      </c>
      <c r="E18" t="s">
        <v>357</v>
      </c>
      <c r="F18">
        <v>1963</v>
      </c>
      <c r="H18" s="4">
        <v>257.00000000000006</v>
      </c>
      <c r="I18" s="4">
        <f t="shared" si="5"/>
        <v>1.63</v>
      </c>
      <c r="J18" s="4">
        <f t="shared" si="0"/>
        <v>418.91000000000008</v>
      </c>
      <c r="L18">
        <v>7</v>
      </c>
      <c r="M18">
        <f>VLOOKUP(L18,Regolamento!A:B,2,1)</f>
        <v>34</v>
      </c>
      <c r="N18" s="4">
        <f t="shared" si="1"/>
        <v>1.47</v>
      </c>
      <c r="O18" s="4">
        <f t="shared" si="2"/>
        <v>1.6</v>
      </c>
      <c r="P18" s="6">
        <f t="shared" si="3"/>
        <v>79.968000000000004</v>
      </c>
      <c r="R18" s="6">
        <f t="shared" si="4"/>
        <v>5.4680851063829801</v>
      </c>
    </row>
    <row r="19" spans="1:19" x14ac:dyDescent="0.25">
      <c r="A19" s="8" t="s">
        <v>309</v>
      </c>
      <c r="B19" s="12" t="str">
        <f>VLOOKUP(A19,concorrenti!A:B,2,0)</f>
        <v>VCC COMO</v>
      </c>
      <c r="C19" s="12">
        <f>VLOOKUP(A19,concorrenti!A:E,5,1)</f>
        <v>0</v>
      </c>
      <c r="D19" t="s">
        <v>121</v>
      </c>
      <c r="E19" t="s">
        <v>123</v>
      </c>
      <c r="F19">
        <v>1937</v>
      </c>
      <c r="H19" s="4">
        <v>306.99999999999994</v>
      </c>
      <c r="I19" s="4">
        <f t="shared" si="5"/>
        <v>1.37</v>
      </c>
      <c r="J19" s="4">
        <f t="shared" si="0"/>
        <v>420.59</v>
      </c>
      <c r="L19">
        <v>8</v>
      </c>
      <c r="M19">
        <f>VLOOKUP(L19,Regolamento!A:B,2,1)</f>
        <v>33</v>
      </c>
      <c r="N19" s="4">
        <f t="shared" si="1"/>
        <v>1.47</v>
      </c>
      <c r="O19" s="4">
        <f t="shared" si="2"/>
        <v>1.6</v>
      </c>
      <c r="P19" s="6">
        <f t="shared" si="3"/>
        <v>77.616</v>
      </c>
      <c r="R19" s="6">
        <f t="shared" si="4"/>
        <v>6.5319148936170199</v>
      </c>
    </row>
    <row r="20" spans="1:19" x14ac:dyDescent="0.25">
      <c r="A20" s="8" t="s">
        <v>17</v>
      </c>
      <c r="B20" s="12" t="str">
        <f>VLOOKUP(A20,concorrenti!A:B,2,0)</f>
        <v>VAMS</v>
      </c>
      <c r="C20" s="12">
        <f>VLOOKUP(A20,concorrenti!A:E,5,1)</f>
        <v>0</v>
      </c>
      <c r="D20" t="s">
        <v>232</v>
      </c>
      <c r="E20" t="s">
        <v>282</v>
      </c>
      <c r="F20">
        <v>1972</v>
      </c>
      <c r="G20" s="8"/>
      <c r="H20" s="4">
        <v>272</v>
      </c>
      <c r="I20" s="4">
        <f t="shared" si="5"/>
        <v>1.72</v>
      </c>
      <c r="J20" s="4">
        <f t="shared" si="0"/>
        <v>467.84</v>
      </c>
      <c r="L20">
        <v>9</v>
      </c>
      <c r="M20">
        <f>VLOOKUP(L20,Regolamento!A:B,2,1)</f>
        <v>32</v>
      </c>
      <c r="N20" s="4">
        <f t="shared" si="1"/>
        <v>1.47</v>
      </c>
      <c r="O20" s="4">
        <f t="shared" si="2"/>
        <v>1.6</v>
      </c>
      <c r="P20" s="6">
        <f t="shared" si="3"/>
        <v>75.263999999999996</v>
      </c>
      <c r="R20" s="6">
        <f t="shared" si="4"/>
        <v>5.7872340425531918</v>
      </c>
    </row>
    <row r="21" spans="1:19" x14ac:dyDescent="0.25">
      <c r="A21" s="8" t="s">
        <v>189</v>
      </c>
      <c r="B21" s="12" t="str">
        <f>VLOOKUP(A21,concorrenti!A:B,2,0)</f>
        <v>CASTELLOTTI</v>
      </c>
      <c r="C21" s="12">
        <f>VLOOKUP(A21,concorrenti!A:E,5,1)</f>
        <v>0</v>
      </c>
      <c r="D21" t="s">
        <v>233</v>
      </c>
      <c r="E21" t="s">
        <v>503</v>
      </c>
      <c r="F21">
        <v>1928</v>
      </c>
      <c r="H21" s="4">
        <v>407</v>
      </c>
      <c r="I21" s="4">
        <f t="shared" si="5"/>
        <v>1.28</v>
      </c>
      <c r="J21" s="4">
        <f t="shared" si="0"/>
        <v>520.96</v>
      </c>
      <c r="L21">
        <v>10</v>
      </c>
      <c r="M21">
        <f>VLOOKUP(L21,Regolamento!A:B,2,1)</f>
        <v>31</v>
      </c>
      <c r="N21" s="4">
        <f t="shared" si="1"/>
        <v>1.47</v>
      </c>
      <c r="O21" s="4">
        <f t="shared" si="2"/>
        <v>1.6</v>
      </c>
      <c r="P21" s="6">
        <f t="shared" si="3"/>
        <v>72.912000000000006</v>
      </c>
      <c r="R21" s="6">
        <f t="shared" si="4"/>
        <v>8.6595744680851059</v>
      </c>
    </row>
    <row r="22" spans="1:19" x14ac:dyDescent="0.25">
      <c r="A22" s="8" t="s">
        <v>70</v>
      </c>
      <c r="B22" s="12" t="str">
        <f>VLOOKUP(A22,concorrenti!A:B,2,0)</f>
        <v>CAVEM</v>
      </c>
      <c r="C22" s="12">
        <f>VLOOKUP(A22,concorrenti!A:E,5,1)</f>
        <v>0</v>
      </c>
      <c r="D22" t="s">
        <v>242</v>
      </c>
      <c r="E22" t="s">
        <v>517</v>
      </c>
      <c r="F22">
        <v>1974</v>
      </c>
      <c r="G22" s="9"/>
      <c r="H22" s="4">
        <v>301</v>
      </c>
      <c r="I22" s="4">
        <f t="shared" si="5"/>
        <v>1.74</v>
      </c>
      <c r="J22" s="4">
        <f t="shared" si="0"/>
        <v>523.74</v>
      </c>
      <c r="L22">
        <v>11</v>
      </c>
      <c r="M22">
        <f>VLOOKUP(L22,Regolamento!A:B,2,1)</f>
        <v>30</v>
      </c>
      <c r="N22" s="4">
        <f t="shared" si="1"/>
        <v>1.47</v>
      </c>
      <c r="O22" s="4">
        <f t="shared" si="2"/>
        <v>1.6</v>
      </c>
      <c r="P22" s="6">
        <f t="shared" si="3"/>
        <v>70.56</v>
      </c>
      <c r="R22" s="6">
        <f t="shared" si="4"/>
        <v>6.4042553191489358</v>
      </c>
    </row>
    <row r="23" spans="1:19" x14ac:dyDescent="0.25">
      <c r="A23" s="8" t="s">
        <v>13</v>
      </c>
      <c r="B23" s="12" t="str">
        <f>VLOOKUP(A23,concorrenti!A:B,2,0)</f>
        <v>VAMS</v>
      </c>
      <c r="C23" s="12">
        <f>VLOOKUP(A23,concorrenti!A:E,5,1)</f>
        <v>0</v>
      </c>
      <c r="D23" t="s">
        <v>230</v>
      </c>
      <c r="E23" t="s">
        <v>507</v>
      </c>
      <c r="F23">
        <v>1961</v>
      </c>
      <c r="H23" s="4">
        <v>342</v>
      </c>
      <c r="I23" s="4">
        <f t="shared" si="5"/>
        <v>1.6099999999999999</v>
      </c>
      <c r="J23" s="4">
        <f t="shared" si="0"/>
        <v>550.62</v>
      </c>
      <c r="L23">
        <v>12</v>
      </c>
      <c r="M23">
        <f>VLOOKUP(L23,Regolamento!A:B,2,1)</f>
        <v>29</v>
      </c>
      <c r="N23" s="4">
        <f t="shared" si="1"/>
        <v>1.47</v>
      </c>
      <c r="O23" s="4">
        <f t="shared" si="2"/>
        <v>1.6</v>
      </c>
      <c r="P23" s="6">
        <f t="shared" si="3"/>
        <v>68.208000000000013</v>
      </c>
      <c r="R23" s="6">
        <f t="shared" si="4"/>
        <v>7.2765957446808507</v>
      </c>
    </row>
    <row r="24" spans="1:19" x14ac:dyDescent="0.25">
      <c r="A24" s="8" t="s">
        <v>16</v>
      </c>
      <c r="B24" s="12" t="str">
        <f>VLOOKUP(A24,concorrenti!A:B,2,0)</f>
        <v>OROBICO</v>
      </c>
      <c r="C24" s="12">
        <f>VLOOKUP(A24,concorrenti!A:E,5,1)</f>
        <v>0</v>
      </c>
      <c r="D24" t="s">
        <v>232</v>
      </c>
      <c r="E24" t="s">
        <v>508</v>
      </c>
      <c r="F24">
        <v>1961</v>
      </c>
      <c r="H24" s="4">
        <v>353</v>
      </c>
      <c r="I24" s="4">
        <f t="shared" si="5"/>
        <v>1.6099999999999999</v>
      </c>
      <c r="J24" s="4">
        <f t="shared" si="0"/>
        <v>568.32999999999993</v>
      </c>
      <c r="L24">
        <v>13</v>
      </c>
      <c r="M24">
        <f>VLOOKUP(L24,Regolamento!A:B,2,1)</f>
        <v>28</v>
      </c>
      <c r="N24" s="4">
        <f t="shared" si="1"/>
        <v>1.47</v>
      </c>
      <c r="O24" s="4">
        <f t="shared" si="2"/>
        <v>1.6</v>
      </c>
      <c r="P24" s="6">
        <f t="shared" si="3"/>
        <v>65.855999999999995</v>
      </c>
      <c r="R24" s="6">
        <f t="shared" si="4"/>
        <v>7.5106382978723403</v>
      </c>
    </row>
    <row r="25" spans="1:19" x14ac:dyDescent="0.25">
      <c r="A25" s="8" t="s">
        <v>353</v>
      </c>
      <c r="B25" s="12" t="str">
        <f>VLOOKUP(A25,concorrenti!A:B,2,0)</f>
        <v>VCC COMO</v>
      </c>
      <c r="C25" s="12">
        <f>VLOOKUP(A25,concorrenti!A:E,5,1)</f>
        <v>0</v>
      </c>
      <c r="D25" t="s">
        <v>241</v>
      </c>
      <c r="E25" t="s">
        <v>356</v>
      </c>
      <c r="F25">
        <v>2000</v>
      </c>
      <c r="H25" s="4">
        <v>663</v>
      </c>
      <c r="I25" s="4">
        <f t="shared" si="5"/>
        <v>1</v>
      </c>
      <c r="J25" s="4">
        <f t="shared" si="0"/>
        <v>663</v>
      </c>
      <c r="L25">
        <v>14</v>
      </c>
      <c r="M25">
        <f>VLOOKUP(L25,Regolamento!A:B,2,1)</f>
        <v>27</v>
      </c>
      <c r="N25" s="4">
        <f t="shared" si="1"/>
        <v>1.47</v>
      </c>
      <c r="O25" s="4">
        <f t="shared" si="2"/>
        <v>1.6</v>
      </c>
      <c r="P25" s="6">
        <f t="shared" si="3"/>
        <v>63.503999999999998</v>
      </c>
      <c r="R25" s="6">
        <f t="shared" si="4"/>
        <v>14.106382978723405</v>
      </c>
    </row>
    <row r="26" spans="1:19" x14ac:dyDescent="0.25">
      <c r="A26" s="8" t="s">
        <v>303</v>
      </c>
      <c r="B26" s="12" t="str">
        <f>VLOOKUP(A26,concorrenti!A:B,2,0)</f>
        <v>OROBICO</v>
      </c>
      <c r="C26" s="12">
        <f>VLOOKUP(A26,concorrenti!A:E,5,1)</f>
        <v>0</v>
      </c>
      <c r="D26" t="s">
        <v>234</v>
      </c>
      <c r="E26" t="s">
        <v>292</v>
      </c>
      <c r="F26">
        <v>1973</v>
      </c>
      <c r="H26" s="4">
        <v>386</v>
      </c>
      <c r="I26" s="4">
        <f t="shared" si="5"/>
        <v>1.73</v>
      </c>
      <c r="J26" s="4">
        <f t="shared" si="0"/>
        <v>667.78</v>
      </c>
      <c r="L26">
        <v>15</v>
      </c>
      <c r="M26">
        <f>VLOOKUP(L26,Regolamento!A:B,2,1)</f>
        <v>26</v>
      </c>
      <c r="N26" s="4">
        <f t="shared" si="1"/>
        <v>1.47</v>
      </c>
      <c r="O26" s="4">
        <f t="shared" si="2"/>
        <v>1.6</v>
      </c>
      <c r="P26" s="6">
        <f t="shared" si="3"/>
        <v>61.152000000000001</v>
      </c>
      <c r="R26" s="6">
        <f t="shared" si="4"/>
        <v>8.212765957446809</v>
      </c>
    </row>
    <row r="27" spans="1:19" x14ac:dyDescent="0.25">
      <c r="A27" s="8" t="s">
        <v>28</v>
      </c>
      <c r="B27" s="12" t="str">
        <f>VLOOKUP(A27,concorrenti!A:B,2,0)</f>
        <v>VAMS</v>
      </c>
      <c r="C27" s="12">
        <f>VLOOKUP(A27,concorrenti!A:E,5,1)</f>
        <v>0</v>
      </c>
      <c r="D27" t="s">
        <v>232</v>
      </c>
      <c r="E27" t="s">
        <v>143</v>
      </c>
      <c r="F27">
        <v>1975</v>
      </c>
      <c r="H27" s="4">
        <v>388</v>
      </c>
      <c r="I27" s="4">
        <f t="shared" si="5"/>
        <v>1.75</v>
      </c>
      <c r="J27" s="4">
        <f t="shared" si="0"/>
        <v>679</v>
      </c>
      <c r="L27">
        <v>16</v>
      </c>
      <c r="M27">
        <f>VLOOKUP(L27,Regolamento!A:B,2,1)</f>
        <v>25</v>
      </c>
      <c r="N27" s="4">
        <f t="shared" si="1"/>
        <v>1.47</v>
      </c>
      <c r="O27" s="4">
        <f t="shared" si="2"/>
        <v>1.6</v>
      </c>
      <c r="P27" s="6">
        <f t="shared" si="3"/>
        <v>58.800000000000004</v>
      </c>
      <c r="R27" s="6">
        <f t="shared" si="4"/>
        <v>8.2553191489361701</v>
      </c>
    </row>
    <row r="28" spans="1:19" x14ac:dyDescent="0.25">
      <c r="A28" s="8" t="s">
        <v>74</v>
      </c>
      <c r="B28" s="12" t="str">
        <f>VLOOKUP(A28,concorrenti!A:B,2,0)</f>
        <v>CASTELLOTTI</v>
      </c>
      <c r="C28" s="12">
        <f>VLOOKUP(A28,concorrenti!A:E,5,1)</f>
        <v>0</v>
      </c>
      <c r="D28" t="s">
        <v>151</v>
      </c>
      <c r="E28" t="s">
        <v>516</v>
      </c>
      <c r="F28">
        <v>1972</v>
      </c>
      <c r="H28" s="4">
        <v>408</v>
      </c>
      <c r="I28" s="4">
        <f t="shared" si="5"/>
        <v>1.72</v>
      </c>
      <c r="J28" s="4">
        <f t="shared" si="0"/>
        <v>701.76</v>
      </c>
      <c r="L28">
        <v>17</v>
      </c>
      <c r="M28">
        <f>VLOOKUP(L28,Regolamento!A:B,2,1)</f>
        <v>24</v>
      </c>
      <c r="N28" s="4">
        <f t="shared" si="1"/>
        <v>1.47</v>
      </c>
      <c r="O28" s="4">
        <f t="shared" si="2"/>
        <v>1.6</v>
      </c>
      <c r="P28" s="6">
        <f t="shared" si="3"/>
        <v>56.448000000000008</v>
      </c>
      <c r="R28" s="6">
        <f t="shared" si="4"/>
        <v>8.6808510638297864</v>
      </c>
    </row>
    <row r="29" spans="1:19" x14ac:dyDescent="0.25">
      <c r="A29" s="8" t="s">
        <v>29</v>
      </c>
      <c r="B29" s="12" t="str">
        <f>VLOOKUP(A29,concorrenti!A:B,2,0)</f>
        <v>OROBICO</v>
      </c>
      <c r="C29" s="12">
        <f>VLOOKUP(A29,concorrenti!A:E,5,1)</f>
        <v>0</v>
      </c>
      <c r="D29" t="s">
        <v>512</v>
      </c>
      <c r="E29" t="s">
        <v>513</v>
      </c>
      <c r="F29">
        <v>1966</v>
      </c>
      <c r="H29" s="4">
        <v>425</v>
      </c>
      <c r="I29" s="4">
        <f t="shared" si="5"/>
        <v>1.6600000000000001</v>
      </c>
      <c r="J29" s="4">
        <f t="shared" si="0"/>
        <v>705.50000000000011</v>
      </c>
      <c r="L29">
        <v>18</v>
      </c>
      <c r="M29">
        <f>VLOOKUP(L29,Regolamento!A:B,2,1)</f>
        <v>23</v>
      </c>
      <c r="N29" s="4">
        <f t="shared" si="1"/>
        <v>1.47</v>
      </c>
      <c r="O29" s="4">
        <f t="shared" si="2"/>
        <v>1.6</v>
      </c>
      <c r="P29" s="6">
        <f t="shared" si="3"/>
        <v>54.096000000000004</v>
      </c>
      <c r="R29" s="6">
        <f t="shared" si="4"/>
        <v>9.0425531914893611</v>
      </c>
    </row>
    <row r="30" spans="1:19" x14ac:dyDescent="0.25">
      <c r="A30" s="8" t="s">
        <v>221</v>
      </c>
      <c r="B30" s="12" t="str">
        <f>VLOOKUP(A30,concorrenti!A:B,2,0)</f>
        <v>VAMS</v>
      </c>
      <c r="C30" s="12">
        <f>VLOOKUP(A30,concorrenti!A:E,5,1)</f>
        <v>0</v>
      </c>
      <c r="D30" t="s">
        <v>232</v>
      </c>
      <c r="E30" t="s">
        <v>286</v>
      </c>
      <c r="F30">
        <v>1981</v>
      </c>
      <c r="H30" s="4">
        <v>410.99999999999994</v>
      </c>
      <c r="I30" s="4">
        <f t="shared" si="5"/>
        <v>1.81</v>
      </c>
      <c r="J30" s="4">
        <f t="shared" si="0"/>
        <v>743.91</v>
      </c>
      <c r="L30">
        <v>19</v>
      </c>
      <c r="M30">
        <f>VLOOKUP(L30,Regolamento!A:B,2,1)</f>
        <v>22</v>
      </c>
      <c r="N30" s="4">
        <f t="shared" si="1"/>
        <v>1.47</v>
      </c>
      <c r="O30" s="4">
        <f t="shared" si="2"/>
        <v>1.6</v>
      </c>
      <c r="P30" s="6">
        <f t="shared" si="3"/>
        <v>51.744</v>
      </c>
      <c r="R30" s="6">
        <f t="shared" si="4"/>
        <v>8.7446808510638281</v>
      </c>
    </row>
    <row r="31" spans="1:19" x14ac:dyDescent="0.25">
      <c r="A31" s="8" t="s">
        <v>76</v>
      </c>
      <c r="B31" s="12" t="str">
        <f>VLOOKUP(A31,concorrenti!A:B,2,0)</f>
        <v>CASTELLOTTI</v>
      </c>
      <c r="C31" s="12">
        <f>VLOOKUP(A31,concorrenti!A:E,5,1)</f>
        <v>0</v>
      </c>
      <c r="D31" t="s">
        <v>121</v>
      </c>
      <c r="E31" t="s">
        <v>122</v>
      </c>
      <c r="F31">
        <v>1970</v>
      </c>
      <c r="H31" s="4">
        <v>449</v>
      </c>
      <c r="I31" s="4">
        <f t="shared" si="5"/>
        <v>1.7</v>
      </c>
      <c r="J31" s="4">
        <f t="shared" si="0"/>
        <v>763.3</v>
      </c>
      <c r="L31">
        <v>20</v>
      </c>
      <c r="M31">
        <f>VLOOKUP(L31,Regolamento!A:B,2,1)</f>
        <v>21</v>
      </c>
      <c r="N31" s="4">
        <f t="shared" si="1"/>
        <v>1.47</v>
      </c>
      <c r="O31" s="4">
        <f t="shared" si="2"/>
        <v>1.6</v>
      </c>
      <c r="P31" s="6">
        <f t="shared" si="3"/>
        <v>49.392000000000003</v>
      </c>
      <c r="R31" s="6">
        <f t="shared" si="4"/>
        <v>9.5531914893617014</v>
      </c>
      <c r="S31" s="63"/>
    </row>
    <row r="32" spans="1:19" x14ac:dyDescent="0.25">
      <c r="A32" s="8" t="s">
        <v>218</v>
      </c>
      <c r="B32" s="12" t="str">
        <f>VLOOKUP(A32,concorrenti!A:B,2,0)</f>
        <v>OROBICO</v>
      </c>
      <c r="C32" s="12">
        <f>VLOOKUP(A32,concorrenti!A:E,5,1)</f>
        <v>0</v>
      </c>
      <c r="D32" t="s">
        <v>121</v>
      </c>
      <c r="E32" t="s">
        <v>273</v>
      </c>
      <c r="F32">
        <v>1954</v>
      </c>
      <c r="H32" s="4">
        <v>528</v>
      </c>
      <c r="I32" s="4">
        <f t="shared" si="5"/>
        <v>1.54</v>
      </c>
      <c r="J32" s="4">
        <f t="shared" si="0"/>
        <v>813.12</v>
      </c>
      <c r="L32">
        <v>21</v>
      </c>
      <c r="M32">
        <f>VLOOKUP(L32,Regolamento!A:B,2,1)</f>
        <v>20</v>
      </c>
      <c r="N32" s="4">
        <f t="shared" si="1"/>
        <v>1.47</v>
      </c>
      <c r="O32" s="4">
        <f t="shared" si="2"/>
        <v>1.6</v>
      </c>
      <c r="P32" s="6">
        <f t="shared" si="3"/>
        <v>47.04</v>
      </c>
      <c r="R32" s="6">
        <f t="shared" si="4"/>
        <v>11.23404255319149</v>
      </c>
    </row>
    <row r="33" spans="1:18" x14ac:dyDescent="0.25">
      <c r="A33" s="8" t="s">
        <v>314</v>
      </c>
      <c r="B33" s="12" t="str">
        <f>VLOOKUP(A33,concorrenti!A:B,2,0)</f>
        <v>OROBICO</v>
      </c>
      <c r="C33" s="12">
        <f>VLOOKUP(A33,concorrenti!A:E,5,1)</f>
        <v>0</v>
      </c>
      <c r="D33" t="s">
        <v>526</v>
      </c>
      <c r="E33" t="s">
        <v>517</v>
      </c>
      <c r="F33">
        <v>1992</v>
      </c>
      <c r="H33" s="4">
        <v>437</v>
      </c>
      <c r="I33" s="4">
        <f t="shared" si="5"/>
        <v>1.92</v>
      </c>
      <c r="J33" s="4">
        <f t="shared" si="0"/>
        <v>839.04</v>
      </c>
      <c r="L33">
        <v>22</v>
      </c>
      <c r="M33">
        <f>VLOOKUP(L33,Regolamento!A:B,2,1)</f>
        <v>19</v>
      </c>
      <c r="N33" s="4">
        <f t="shared" si="1"/>
        <v>1.47</v>
      </c>
      <c r="O33" s="4">
        <f t="shared" si="2"/>
        <v>1.6</v>
      </c>
      <c r="P33" s="6">
        <f t="shared" si="3"/>
        <v>44.688000000000002</v>
      </c>
      <c r="R33" s="6">
        <f t="shared" si="4"/>
        <v>9.2978723404255312</v>
      </c>
    </row>
    <row r="34" spans="1:18" x14ac:dyDescent="0.25">
      <c r="A34" s="8" t="s">
        <v>315</v>
      </c>
      <c r="B34" s="12" t="str">
        <f>VLOOKUP(A34,concorrenti!A:B,2,0)</f>
        <v>VALTELLINA</v>
      </c>
      <c r="C34" s="12">
        <f>VLOOKUP(A34,concorrenti!A:E,5,1)</f>
        <v>0</v>
      </c>
      <c r="D34" t="s">
        <v>232</v>
      </c>
      <c r="E34" t="s">
        <v>523</v>
      </c>
      <c r="F34">
        <v>1987</v>
      </c>
      <c r="H34" s="4">
        <v>467</v>
      </c>
      <c r="I34" s="4">
        <f t="shared" si="5"/>
        <v>1.87</v>
      </c>
      <c r="J34" s="4">
        <f t="shared" si="0"/>
        <v>873.29000000000008</v>
      </c>
      <c r="L34">
        <v>23</v>
      </c>
      <c r="M34">
        <f>VLOOKUP(L34,Regolamento!A:B,2,1)</f>
        <v>18</v>
      </c>
      <c r="N34" s="4">
        <f t="shared" si="1"/>
        <v>1.47</v>
      </c>
      <c r="O34" s="4">
        <f t="shared" si="2"/>
        <v>1.6</v>
      </c>
      <c r="P34" s="6">
        <f t="shared" si="3"/>
        <v>42.336000000000006</v>
      </c>
      <c r="R34" s="6">
        <f t="shared" si="4"/>
        <v>9.9361702127659566</v>
      </c>
    </row>
    <row r="35" spans="1:18" x14ac:dyDescent="0.25">
      <c r="A35" s="8" t="s">
        <v>355</v>
      </c>
      <c r="B35" s="12" t="str">
        <f>VLOOKUP(A35,concorrenti!A:B,2,0)</f>
        <v>VCC COMO</v>
      </c>
      <c r="C35" s="12">
        <f>VLOOKUP(A35,concorrenti!A:E,5,1)</f>
        <v>0</v>
      </c>
      <c r="D35" t="s">
        <v>235</v>
      </c>
      <c r="E35" t="s">
        <v>533</v>
      </c>
      <c r="F35">
        <v>2000</v>
      </c>
      <c r="H35" s="4">
        <v>922.53873063468268</v>
      </c>
      <c r="I35" s="4">
        <f t="shared" si="5"/>
        <v>1</v>
      </c>
      <c r="J35" s="4">
        <f t="shared" si="0"/>
        <v>922.53873063468268</v>
      </c>
      <c r="L35">
        <v>24</v>
      </c>
      <c r="M35">
        <f>VLOOKUP(L35,Regolamento!A:B,2,1)</f>
        <v>17</v>
      </c>
      <c r="N35" s="4">
        <f t="shared" si="1"/>
        <v>1.47</v>
      </c>
      <c r="O35" s="4">
        <f t="shared" si="2"/>
        <v>1.6</v>
      </c>
      <c r="P35" s="6">
        <f t="shared" si="3"/>
        <v>39.984000000000002</v>
      </c>
      <c r="R35" s="6">
        <f t="shared" si="4"/>
        <v>19.628483630525164</v>
      </c>
    </row>
    <row r="36" spans="1:18" x14ac:dyDescent="0.25">
      <c r="A36" s="8" t="s">
        <v>490</v>
      </c>
      <c r="B36" s="12" t="str">
        <f>VLOOKUP(A36,concorrenti!A:B,2,0)</f>
        <v>CAVEM</v>
      </c>
      <c r="C36" s="12">
        <f>VLOOKUP(A36,concorrenti!A:E,5,1)</f>
        <v>0</v>
      </c>
      <c r="D36" t="s">
        <v>121</v>
      </c>
      <c r="E36" t="s">
        <v>519</v>
      </c>
      <c r="F36">
        <v>1977</v>
      </c>
      <c r="H36" s="4">
        <v>605</v>
      </c>
      <c r="I36" s="4">
        <f t="shared" si="5"/>
        <v>1.77</v>
      </c>
      <c r="J36" s="4">
        <f t="shared" si="0"/>
        <v>1070.8499999999999</v>
      </c>
      <c r="L36">
        <v>25</v>
      </c>
      <c r="M36">
        <f>VLOOKUP(L36,Regolamento!A:B,2,1)</f>
        <v>16</v>
      </c>
      <c r="N36" s="4">
        <f t="shared" si="1"/>
        <v>1.47</v>
      </c>
      <c r="O36" s="4">
        <f t="shared" si="2"/>
        <v>1.6</v>
      </c>
      <c r="P36" s="6">
        <f t="shared" si="3"/>
        <v>37.631999999999998</v>
      </c>
      <c r="R36" s="6">
        <f t="shared" si="4"/>
        <v>12.872340425531915</v>
      </c>
    </row>
    <row r="37" spans="1:18" x14ac:dyDescent="0.25">
      <c r="A37" s="8" t="s">
        <v>487</v>
      </c>
      <c r="B37" s="12" t="str">
        <f>VLOOKUP(A37,concorrenti!A:B,2,0)</f>
        <v>VCC COMO</v>
      </c>
      <c r="C37" s="12">
        <f>VLOOKUP(A37,concorrenti!A:E,5,1)</f>
        <v>0</v>
      </c>
      <c r="D37" t="s">
        <v>144</v>
      </c>
      <c r="E37" t="s">
        <v>515</v>
      </c>
      <c r="F37">
        <v>1971</v>
      </c>
      <c r="G37" s="8"/>
      <c r="H37" s="4">
        <v>630.99</v>
      </c>
      <c r="I37" s="4">
        <f t="shared" si="5"/>
        <v>1.71</v>
      </c>
      <c r="J37" s="4">
        <f t="shared" si="0"/>
        <v>1078.9929</v>
      </c>
      <c r="L37">
        <v>26</v>
      </c>
      <c r="M37">
        <f>VLOOKUP(L37,Regolamento!A:B,2,1)</f>
        <v>15</v>
      </c>
      <c r="N37" s="4">
        <f t="shared" si="1"/>
        <v>1.47</v>
      </c>
      <c r="O37" s="4">
        <f t="shared" si="2"/>
        <v>1.6</v>
      </c>
      <c r="P37" s="6">
        <f t="shared" si="3"/>
        <v>35.28</v>
      </c>
      <c r="R37" s="6">
        <f t="shared" si="4"/>
        <v>13.42531914893617</v>
      </c>
    </row>
    <row r="38" spans="1:18" x14ac:dyDescent="0.25">
      <c r="A38" s="8" t="s">
        <v>31</v>
      </c>
      <c r="B38" s="12" t="str">
        <f>VLOOKUP(A38,concorrenti!A:B,2,0)</f>
        <v>OROBICO</v>
      </c>
      <c r="C38" s="12">
        <f>VLOOKUP(A38,concorrenti!A:E,5,1)</f>
        <v>0</v>
      </c>
      <c r="D38" t="s">
        <v>232</v>
      </c>
      <c r="E38" s="70" t="s">
        <v>282</v>
      </c>
      <c r="F38">
        <v>1971</v>
      </c>
      <c r="H38" s="4">
        <v>657</v>
      </c>
      <c r="I38" s="4">
        <f t="shared" si="5"/>
        <v>1.71</v>
      </c>
      <c r="J38" s="4">
        <f t="shared" si="0"/>
        <v>1123.47</v>
      </c>
      <c r="L38">
        <v>27</v>
      </c>
      <c r="M38">
        <f>VLOOKUP(L38,Regolamento!A:B,2,1)</f>
        <v>14</v>
      </c>
      <c r="N38" s="4">
        <f t="shared" si="1"/>
        <v>1.47</v>
      </c>
      <c r="O38" s="4">
        <f t="shared" si="2"/>
        <v>1.6</v>
      </c>
      <c r="P38" s="6">
        <f t="shared" si="3"/>
        <v>32.927999999999997</v>
      </c>
      <c r="R38" s="6">
        <f t="shared" si="4"/>
        <v>13.978723404255319</v>
      </c>
    </row>
    <row r="39" spans="1:18" x14ac:dyDescent="0.25">
      <c r="A39" s="8" t="s">
        <v>12</v>
      </c>
      <c r="B39" s="12" t="str">
        <f>VLOOKUP(A39,concorrenti!A:B,2,0)</f>
        <v>VAMS</v>
      </c>
      <c r="C39" s="12">
        <f>VLOOKUP(A39,concorrenti!A:E,5,1)</f>
        <v>0</v>
      </c>
      <c r="D39" t="s">
        <v>236</v>
      </c>
      <c r="E39" t="s">
        <v>129</v>
      </c>
      <c r="F39">
        <v>1960</v>
      </c>
      <c r="G39" s="9"/>
      <c r="H39" s="4">
        <v>687.99999999999989</v>
      </c>
      <c r="I39" s="4">
        <v>2</v>
      </c>
      <c r="J39" s="4">
        <f t="shared" si="0"/>
        <v>1375.9999999999998</v>
      </c>
      <c r="L39">
        <v>28</v>
      </c>
      <c r="M39">
        <f>VLOOKUP(L39,Regolamento!A:B,2,1)</f>
        <v>13</v>
      </c>
      <c r="N39" s="4">
        <f t="shared" si="1"/>
        <v>1.47</v>
      </c>
      <c r="O39" s="4">
        <f t="shared" si="2"/>
        <v>1.6</v>
      </c>
      <c r="P39" s="6">
        <f t="shared" si="3"/>
        <v>30.576000000000001</v>
      </c>
      <c r="R39" s="6">
        <f t="shared" si="4"/>
        <v>14.638297872340424</v>
      </c>
    </row>
    <row r="40" spans="1:18" x14ac:dyDescent="0.25">
      <c r="A40" s="8" t="s">
        <v>40</v>
      </c>
      <c r="B40" s="12" t="str">
        <f>VLOOKUP(A40,concorrenti!A:B,2,0)</f>
        <v>VAMS</v>
      </c>
      <c r="C40" s="12">
        <f>VLOOKUP(A40,concorrenti!A:E,5,1)</f>
        <v>0</v>
      </c>
      <c r="D40" t="s">
        <v>144</v>
      </c>
      <c r="E40" t="s">
        <v>33</v>
      </c>
      <c r="F40">
        <v>1957</v>
      </c>
      <c r="H40" s="4">
        <v>1212</v>
      </c>
      <c r="I40" s="4">
        <f>1+RIGHT(F40,2)/100-0.1</f>
        <v>1.4699999999999998</v>
      </c>
      <c r="J40" s="4">
        <f t="shared" si="0"/>
        <v>1781.6399999999996</v>
      </c>
      <c r="L40">
        <v>29</v>
      </c>
      <c r="M40">
        <f>VLOOKUP(L40,Regolamento!A:B,2,1)</f>
        <v>12</v>
      </c>
      <c r="N40" s="4">
        <f t="shared" si="1"/>
        <v>1.47</v>
      </c>
      <c r="O40" s="4">
        <f t="shared" si="2"/>
        <v>1.6</v>
      </c>
      <c r="P40" s="6">
        <f t="shared" si="3"/>
        <v>28.224000000000004</v>
      </c>
      <c r="R40" s="6">
        <f t="shared" si="4"/>
        <v>25.787234042553191</v>
      </c>
    </row>
    <row r="41" spans="1:18" x14ac:dyDescent="0.25">
      <c r="A41" s="8" t="s">
        <v>491</v>
      </c>
      <c r="B41" s="12" t="str">
        <f>VLOOKUP(A41,concorrenti!A:B,2,0)</f>
        <v>VCC COMO</v>
      </c>
      <c r="C41" s="12">
        <f>VLOOKUP(A41,concorrenti!A:E,5,1)</f>
        <v>0</v>
      </c>
      <c r="D41" t="s">
        <v>144</v>
      </c>
      <c r="E41" t="s">
        <v>520</v>
      </c>
      <c r="F41">
        <v>1977</v>
      </c>
      <c r="H41" s="4">
        <v>1062</v>
      </c>
      <c r="I41" s="4">
        <f>1+RIGHT(F41,2)/100</f>
        <v>1.77</v>
      </c>
      <c r="J41" s="4">
        <f t="shared" si="0"/>
        <v>1879.74</v>
      </c>
      <c r="L41">
        <v>30</v>
      </c>
      <c r="M41">
        <f>VLOOKUP(L41,Regolamento!A:B,2,1)</f>
        <v>11</v>
      </c>
      <c r="N41" s="4">
        <f t="shared" si="1"/>
        <v>1.47</v>
      </c>
      <c r="O41" s="4">
        <f t="shared" si="2"/>
        <v>1.6</v>
      </c>
      <c r="P41" s="6">
        <f t="shared" si="3"/>
        <v>25.872</v>
      </c>
      <c r="R41" s="6">
        <f t="shared" si="4"/>
        <v>22.595744680851062</v>
      </c>
    </row>
    <row r="42" spans="1:18" x14ac:dyDescent="0.25">
      <c r="A42" s="8" t="s">
        <v>485</v>
      </c>
      <c r="B42" s="12" t="str">
        <f>VLOOKUP(A42,concorrenti!A:B,2,0)</f>
        <v>OROBICO</v>
      </c>
      <c r="C42" s="12">
        <f>VLOOKUP(A42,concorrenti!A:E,5,1)</f>
        <v>0</v>
      </c>
      <c r="D42" t="s">
        <v>511</v>
      </c>
      <c r="E42" t="s">
        <v>428</v>
      </c>
      <c r="F42">
        <v>1963</v>
      </c>
      <c r="H42" s="4">
        <v>987</v>
      </c>
      <c r="I42" s="4">
        <v>2</v>
      </c>
      <c r="J42" s="4">
        <f t="shared" si="0"/>
        <v>1974</v>
      </c>
      <c r="L42">
        <v>31</v>
      </c>
      <c r="M42">
        <f>VLOOKUP(L42,Regolamento!A:B,2,1)</f>
        <v>10</v>
      </c>
      <c r="N42" s="4">
        <f t="shared" si="1"/>
        <v>1.47</v>
      </c>
      <c r="O42" s="4">
        <f t="shared" si="2"/>
        <v>1.6</v>
      </c>
      <c r="P42" s="6">
        <f t="shared" si="3"/>
        <v>23.52</v>
      </c>
      <c r="R42" s="6">
        <f t="shared" si="4"/>
        <v>21</v>
      </c>
    </row>
    <row r="43" spans="1:18" x14ac:dyDescent="0.25">
      <c r="A43" s="8" t="s">
        <v>227</v>
      </c>
      <c r="B43" s="12" t="str">
        <f>VLOOKUP(A43,concorrenti!A:B,2,0)</f>
        <v>VCC COMO</v>
      </c>
      <c r="C43" s="12">
        <f>VLOOKUP(A43,concorrenti!A:E,5,1)</f>
        <v>0</v>
      </c>
      <c r="D43" t="s">
        <v>151</v>
      </c>
      <c r="E43" t="s">
        <v>362</v>
      </c>
      <c r="F43">
        <v>1997</v>
      </c>
      <c r="G43" s="8"/>
      <c r="H43" s="4">
        <v>1121</v>
      </c>
      <c r="I43" s="4">
        <f t="shared" ref="I43:I57" si="6">1+RIGHT(F43,2)/100</f>
        <v>1.97</v>
      </c>
      <c r="J43" s="4">
        <f t="shared" si="0"/>
        <v>2208.37</v>
      </c>
      <c r="L43">
        <v>32</v>
      </c>
      <c r="M43">
        <f>VLOOKUP(L43,Regolamento!A:B,2,1)</f>
        <v>9</v>
      </c>
      <c r="N43" s="4">
        <f t="shared" si="1"/>
        <v>1.47</v>
      </c>
      <c r="O43" s="4">
        <f t="shared" si="2"/>
        <v>1.6</v>
      </c>
      <c r="P43" s="6">
        <f t="shared" si="3"/>
        <v>21.168000000000003</v>
      </c>
      <c r="R43" s="6">
        <f t="shared" si="4"/>
        <v>23.851063829787233</v>
      </c>
    </row>
    <row r="44" spans="1:18" x14ac:dyDescent="0.25">
      <c r="A44" s="8" t="s">
        <v>87</v>
      </c>
      <c r="B44" s="12" t="str">
        <f>VLOOKUP(A44,concorrenti!A:B,2,0)</f>
        <v>CASTELLOTTI</v>
      </c>
      <c r="C44" s="12">
        <f>VLOOKUP(A44,concorrenti!A:E,5,1)</f>
        <v>0</v>
      </c>
      <c r="D44" t="s">
        <v>235</v>
      </c>
      <c r="E44" t="s">
        <v>291</v>
      </c>
      <c r="F44">
        <v>1965</v>
      </c>
      <c r="H44" s="4">
        <v>1354</v>
      </c>
      <c r="I44" s="4">
        <f t="shared" si="6"/>
        <v>1.65</v>
      </c>
      <c r="J44" s="4">
        <f t="shared" ref="J44:J69" si="7">+I44*H44</f>
        <v>2234.1</v>
      </c>
      <c r="L44">
        <v>33</v>
      </c>
      <c r="M44">
        <f>VLOOKUP(L44,Regolamento!A:B,2,1)</f>
        <v>8</v>
      </c>
      <c r="N44" s="4">
        <f t="shared" ref="N44:N64" si="8">1+E$5/100</f>
        <v>1.47</v>
      </c>
      <c r="O44" s="4">
        <f t="shared" ref="O44:O64" si="9">1+E$6/100</f>
        <v>1.6</v>
      </c>
      <c r="P44" s="6">
        <f t="shared" si="3"/>
        <v>18.815999999999999</v>
      </c>
      <c r="R44" s="6">
        <f t="shared" si="4"/>
        <v>28.808510638297872</v>
      </c>
    </row>
    <row r="45" spans="1:18" x14ac:dyDescent="0.25">
      <c r="A45" s="8" t="s">
        <v>488</v>
      </c>
      <c r="B45" s="12" t="str">
        <f>VLOOKUP(A45,concorrenti!A:B,2,0)</f>
        <v>VCC COMO</v>
      </c>
      <c r="C45" s="12" t="str">
        <f>VLOOKUP(A45,concorrenti!A:E,5,1)</f>
        <v>X</v>
      </c>
      <c r="D45" t="s">
        <v>232</v>
      </c>
      <c r="E45" t="s">
        <v>413</v>
      </c>
      <c r="F45">
        <v>1976</v>
      </c>
      <c r="H45" s="4">
        <v>1290</v>
      </c>
      <c r="I45" s="4">
        <f t="shared" si="6"/>
        <v>1.76</v>
      </c>
      <c r="J45" s="4">
        <f t="shared" si="7"/>
        <v>2270.4</v>
      </c>
      <c r="L45">
        <v>34</v>
      </c>
      <c r="M45">
        <f>VLOOKUP(L45,Regolamento!A:B,2,1)</f>
        <v>7</v>
      </c>
      <c r="N45" s="4">
        <f t="shared" si="8"/>
        <v>1.47</v>
      </c>
      <c r="O45" s="4">
        <f t="shared" si="9"/>
        <v>1.6</v>
      </c>
      <c r="P45" s="6">
        <f t="shared" si="3"/>
        <v>16.463999999999999</v>
      </c>
      <c r="R45" s="6">
        <f t="shared" si="4"/>
        <v>27.446808510638299</v>
      </c>
    </row>
    <row r="46" spans="1:18" x14ac:dyDescent="0.25">
      <c r="A46" s="8" t="s">
        <v>459</v>
      </c>
      <c r="B46" s="12" t="str">
        <f>VLOOKUP(A46,concorrenti!A:B,2,0)</f>
        <v>VAMS</v>
      </c>
      <c r="C46" s="12">
        <f>VLOOKUP(A46,concorrenti!A:E,5,1)</f>
        <v>0</v>
      </c>
      <c r="D46" t="s">
        <v>509</v>
      </c>
      <c r="E46" t="s">
        <v>510</v>
      </c>
      <c r="F46">
        <v>1961</v>
      </c>
      <c r="H46" s="4">
        <v>1843</v>
      </c>
      <c r="I46" s="4">
        <f t="shared" si="6"/>
        <v>1.6099999999999999</v>
      </c>
      <c r="J46" s="4">
        <f t="shared" si="7"/>
        <v>2967.2299999999996</v>
      </c>
      <c r="L46">
        <v>35</v>
      </c>
      <c r="M46">
        <f>VLOOKUP(L46,Regolamento!A:B,2,1)</f>
        <v>6</v>
      </c>
      <c r="N46" s="4">
        <f t="shared" si="8"/>
        <v>1.47</v>
      </c>
      <c r="O46" s="4">
        <f t="shared" si="9"/>
        <v>1.6</v>
      </c>
      <c r="P46" s="6">
        <f t="shared" si="3"/>
        <v>14.112000000000002</v>
      </c>
      <c r="R46" s="6">
        <f t="shared" si="4"/>
        <v>39.212765957446805</v>
      </c>
    </row>
    <row r="47" spans="1:18" x14ac:dyDescent="0.25">
      <c r="A47" s="8" t="s">
        <v>354</v>
      </c>
      <c r="B47" s="12" t="str">
        <f>VLOOKUP(A47,concorrenti!A:B,2,0)</f>
        <v>VCC COMO</v>
      </c>
      <c r="C47" s="12">
        <f>VLOOKUP(A47,concorrenti!A:E,5,1)</f>
        <v>0</v>
      </c>
      <c r="D47" t="s">
        <v>151</v>
      </c>
      <c r="E47" s="70" t="s">
        <v>534</v>
      </c>
      <c r="F47">
        <v>2001</v>
      </c>
      <c r="H47" s="4">
        <v>3056.0000000000005</v>
      </c>
      <c r="I47" s="4">
        <f t="shared" si="6"/>
        <v>1.01</v>
      </c>
      <c r="J47" s="4">
        <f t="shared" si="7"/>
        <v>3086.5600000000004</v>
      </c>
      <c r="L47">
        <v>37</v>
      </c>
      <c r="M47">
        <f>VLOOKUP(L47,Regolamento!A:B,2,1)</f>
        <v>4</v>
      </c>
      <c r="N47" s="4">
        <f t="shared" si="8"/>
        <v>1.47</v>
      </c>
      <c r="O47" s="4">
        <f t="shared" si="9"/>
        <v>1.6</v>
      </c>
      <c r="P47" s="6">
        <f t="shared" si="3"/>
        <v>9.4079999999999995</v>
      </c>
      <c r="R47" s="6">
        <f t="shared" si="4"/>
        <v>65.021276595744695</v>
      </c>
    </row>
    <row r="48" spans="1:18" x14ac:dyDescent="0.25">
      <c r="A48" s="8" t="s">
        <v>18</v>
      </c>
      <c r="B48" s="12" t="str">
        <f>VLOOKUP(A48,concorrenti!A:B,2,0)</f>
        <v>VAMS</v>
      </c>
      <c r="C48" s="12">
        <f>VLOOKUP(A48,concorrenti!A:E,5,1)</f>
        <v>0</v>
      </c>
      <c r="D48" t="s">
        <v>232</v>
      </c>
      <c r="E48" t="s">
        <v>360</v>
      </c>
      <c r="F48">
        <v>1993</v>
      </c>
      <c r="G48" s="8"/>
      <c r="H48" s="4">
        <v>1643</v>
      </c>
      <c r="I48" s="4">
        <f t="shared" si="6"/>
        <v>1.9300000000000002</v>
      </c>
      <c r="J48" s="4">
        <f t="shared" si="7"/>
        <v>3170.9900000000002</v>
      </c>
      <c r="L48">
        <v>38</v>
      </c>
      <c r="M48">
        <f>VLOOKUP(L48,Regolamento!A:B,2,1)</f>
        <v>3</v>
      </c>
      <c r="N48" s="4">
        <f t="shared" si="8"/>
        <v>1.47</v>
      </c>
      <c r="O48" s="4">
        <f t="shared" si="9"/>
        <v>1.6</v>
      </c>
      <c r="P48" s="6">
        <f t="shared" si="3"/>
        <v>7.0560000000000009</v>
      </c>
      <c r="R48" s="6">
        <f t="shared" si="4"/>
        <v>34.957446808510639</v>
      </c>
    </row>
    <row r="49" spans="1:18" x14ac:dyDescent="0.25">
      <c r="A49" s="8" t="s">
        <v>457</v>
      </c>
      <c r="B49" s="12" t="str">
        <f>VLOOKUP(A49,concorrenti!A:B,2,0)</f>
        <v>GAMS</v>
      </c>
      <c r="C49" s="12">
        <f>VLOOKUP(A49,concorrenti!A:E,5,1)</f>
        <v>0</v>
      </c>
      <c r="D49" t="s">
        <v>232</v>
      </c>
      <c r="E49" t="s">
        <v>504</v>
      </c>
      <c r="F49">
        <v>1942</v>
      </c>
      <c r="H49" s="4">
        <v>2673</v>
      </c>
      <c r="I49" s="4">
        <f t="shared" si="6"/>
        <v>1.42</v>
      </c>
      <c r="J49" s="4">
        <f t="shared" si="7"/>
        <v>3795.66</v>
      </c>
      <c r="L49">
        <v>39</v>
      </c>
      <c r="M49">
        <f>VLOOKUP(L49,Regolamento!A:B,2,1)</f>
        <v>2</v>
      </c>
      <c r="N49" s="4">
        <f t="shared" si="8"/>
        <v>1.47</v>
      </c>
      <c r="O49" s="4">
        <f t="shared" si="9"/>
        <v>1.6</v>
      </c>
      <c r="P49" s="6">
        <f t="shared" si="3"/>
        <v>4.7039999999999997</v>
      </c>
      <c r="R49" s="6">
        <f t="shared" si="4"/>
        <v>56.872340425531917</v>
      </c>
    </row>
    <row r="50" spans="1:18" x14ac:dyDescent="0.25">
      <c r="A50" s="8" t="s">
        <v>498</v>
      </c>
      <c r="B50" s="12" t="str">
        <f>VLOOKUP(A50,concorrenti!A:B,2,0)</f>
        <v>VCC COMO</v>
      </c>
      <c r="C50" s="12">
        <f>VLOOKUP(A50,concorrenti!A:E,5,1)</f>
        <v>0</v>
      </c>
      <c r="D50" t="s">
        <v>235</v>
      </c>
      <c r="E50" t="s">
        <v>532</v>
      </c>
      <c r="F50">
        <v>2000</v>
      </c>
      <c r="H50" s="4">
        <v>3856</v>
      </c>
      <c r="I50" s="4">
        <f t="shared" si="6"/>
        <v>1</v>
      </c>
      <c r="J50" s="4">
        <f t="shared" si="7"/>
        <v>3856</v>
      </c>
      <c r="L50">
        <v>40</v>
      </c>
      <c r="M50">
        <f>VLOOKUP(L50,Regolamento!A:B,2,1)</f>
        <v>1</v>
      </c>
      <c r="N50" s="4">
        <f t="shared" si="8"/>
        <v>1.47</v>
      </c>
      <c r="O50" s="4">
        <f t="shared" si="9"/>
        <v>1.6</v>
      </c>
      <c r="P50" s="6">
        <f t="shared" si="3"/>
        <v>2.3519999999999999</v>
      </c>
      <c r="R50" s="6">
        <f t="shared" si="4"/>
        <v>82.042553191489361</v>
      </c>
    </row>
    <row r="51" spans="1:18" x14ac:dyDescent="0.25">
      <c r="A51" s="8" t="s">
        <v>497</v>
      </c>
      <c r="B51" s="12" t="str">
        <f>VLOOKUP(A51,concorrenti!A:B,2,0)</f>
        <v>VCC COMO</v>
      </c>
      <c r="C51" s="12">
        <f>VLOOKUP(A51,concorrenti!A:E,5,1)</f>
        <v>0</v>
      </c>
      <c r="D51" t="s">
        <v>235</v>
      </c>
      <c r="E51" t="s">
        <v>531</v>
      </c>
      <c r="F51">
        <v>1997</v>
      </c>
      <c r="H51" s="4">
        <v>2044</v>
      </c>
      <c r="I51" s="4">
        <f t="shared" si="6"/>
        <v>1.97</v>
      </c>
      <c r="J51" s="4">
        <f t="shared" si="7"/>
        <v>4026.68</v>
      </c>
      <c r="L51">
        <v>41</v>
      </c>
      <c r="M51">
        <f>VLOOKUP(L51,Regolamento!A:B,2,1)</f>
        <v>0.5</v>
      </c>
      <c r="N51" s="4">
        <f t="shared" si="8"/>
        <v>1.47</v>
      </c>
      <c r="O51" s="4">
        <f t="shared" si="9"/>
        <v>1.6</v>
      </c>
      <c r="P51" s="6">
        <f t="shared" si="3"/>
        <v>1.1759999999999999</v>
      </c>
      <c r="R51" s="6">
        <f t="shared" si="4"/>
        <v>43.48936170212766</v>
      </c>
    </row>
    <row r="52" spans="1:18" x14ac:dyDescent="0.25">
      <c r="A52" s="8" t="s">
        <v>489</v>
      </c>
      <c r="B52" s="12" t="str">
        <f>VLOOKUP(A52,concorrenti!A:B,2,0)</f>
        <v>VCC COMO</v>
      </c>
      <c r="C52" s="12">
        <f>VLOOKUP(A52,concorrenti!A:E,5,1)</f>
        <v>0</v>
      </c>
      <c r="D52" t="s">
        <v>230</v>
      </c>
      <c r="E52" t="s">
        <v>518</v>
      </c>
      <c r="F52">
        <v>1976</v>
      </c>
      <c r="H52" s="4">
        <v>2305</v>
      </c>
      <c r="I52" s="4">
        <f t="shared" si="6"/>
        <v>1.76</v>
      </c>
      <c r="J52" s="4">
        <f t="shared" si="7"/>
        <v>4056.8</v>
      </c>
      <c r="L52">
        <v>42</v>
      </c>
      <c r="M52">
        <f>VLOOKUP(L52,Regolamento!A:B,2,1)</f>
        <v>0.5</v>
      </c>
      <c r="N52" s="4">
        <f t="shared" si="8"/>
        <v>1.47</v>
      </c>
      <c r="O52" s="4">
        <f t="shared" si="9"/>
        <v>1.6</v>
      </c>
      <c r="P52" s="6">
        <f t="shared" si="3"/>
        <v>1.1759999999999999</v>
      </c>
      <c r="R52" s="6">
        <f t="shared" si="4"/>
        <v>49.042553191489361</v>
      </c>
    </row>
    <row r="53" spans="1:18" x14ac:dyDescent="0.25">
      <c r="A53" s="8" t="s">
        <v>502</v>
      </c>
      <c r="B53" s="12" t="str">
        <f>VLOOKUP(A53,concorrenti!A:B,2,0)</f>
        <v>VCC COMO</v>
      </c>
      <c r="C53" s="12">
        <f>VLOOKUP(A53,concorrenti!A:E,5,1)</f>
        <v>0</v>
      </c>
      <c r="D53" t="s">
        <v>511</v>
      </c>
      <c r="E53" t="s">
        <v>538</v>
      </c>
      <c r="F53">
        <v>1985</v>
      </c>
      <c r="H53" s="4">
        <v>2343</v>
      </c>
      <c r="I53" s="4">
        <f t="shared" si="6"/>
        <v>1.85</v>
      </c>
      <c r="J53" s="4">
        <f t="shared" si="7"/>
        <v>4334.55</v>
      </c>
      <c r="L53">
        <v>43</v>
      </c>
      <c r="M53">
        <f>VLOOKUP(L53,Regolamento!A:B,2,1)</f>
        <v>0.5</v>
      </c>
      <c r="N53" s="4">
        <f t="shared" si="8"/>
        <v>1.47</v>
      </c>
      <c r="O53" s="4">
        <f t="shared" si="9"/>
        <v>1.6</v>
      </c>
      <c r="P53" s="6">
        <f t="shared" si="3"/>
        <v>1.1759999999999999</v>
      </c>
      <c r="R53" s="6">
        <f t="shared" si="4"/>
        <v>49.851063829787236</v>
      </c>
    </row>
    <row r="54" spans="1:18" x14ac:dyDescent="0.25">
      <c r="A54" s="8" t="s">
        <v>307</v>
      </c>
      <c r="B54" s="12" t="str">
        <f>VLOOKUP(A54,concorrenti!A:B,2,0)</f>
        <v>OROBICO</v>
      </c>
      <c r="C54" s="12">
        <f>VLOOKUP(A54,concorrenti!A:E,5,1)</f>
        <v>0</v>
      </c>
      <c r="D54" t="s">
        <v>232</v>
      </c>
      <c r="E54" t="s">
        <v>318</v>
      </c>
      <c r="F54">
        <v>1973</v>
      </c>
      <c r="H54" s="4">
        <v>2644</v>
      </c>
      <c r="I54" s="4">
        <f t="shared" si="6"/>
        <v>1.73</v>
      </c>
      <c r="J54" s="4">
        <f t="shared" si="7"/>
        <v>4574.12</v>
      </c>
      <c r="L54">
        <v>44</v>
      </c>
      <c r="M54">
        <f>VLOOKUP(L54,Regolamento!A:B,2,1)</f>
        <v>0.5</v>
      </c>
      <c r="N54" s="4">
        <f t="shared" si="8"/>
        <v>1.47</v>
      </c>
      <c r="O54" s="4">
        <f t="shared" si="9"/>
        <v>1.6</v>
      </c>
      <c r="P54" s="6">
        <f t="shared" si="3"/>
        <v>1.1759999999999999</v>
      </c>
      <c r="R54" s="6">
        <f t="shared" si="4"/>
        <v>56.255319148936174</v>
      </c>
    </row>
    <row r="55" spans="1:18" x14ac:dyDescent="0.25">
      <c r="A55" s="8" t="s">
        <v>91</v>
      </c>
      <c r="B55" s="12" t="str">
        <f>VLOOKUP(A55,concorrenti!A:B,2,0)</f>
        <v>VALTELLINA</v>
      </c>
      <c r="C55" s="12">
        <f>VLOOKUP(A55,concorrenti!A:E,5,1)</f>
        <v>0</v>
      </c>
      <c r="D55" t="s">
        <v>236</v>
      </c>
      <c r="E55" t="s">
        <v>133</v>
      </c>
      <c r="F55">
        <v>1963</v>
      </c>
      <c r="H55" s="4">
        <v>3005</v>
      </c>
      <c r="I55" s="4">
        <f t="shared" si="6"/>
        <v>1.63</v>
      </c>
      <c r="J55" s="4">
        <f t="shared" si="7"/>
        <v>4898.1499999999996</v>
      </c>
      <c r="L55">
        <v>45</v>
      </c>
      <c r="M55">
        <f>VLOOKUP(L55,Regolamento!A:B,2,1)</f>
        <v>0.5</v>
      </c>
      <c r="N55" s="4">
        <f t="shared" si="8"/>
        <v>1.47</v>
      </c>
      <c r="O55" s="4">
        <f t="shared" si="9"/>
        <v>1.6</v>
      </c>
      <c r="P55" s="6">
        <f t="shared" si="3"/>
        <v>1.1759999999999999</v>
      </c>
      <c r="R55" s="6">
        <f t="shared" si="4"/>
        <v>63.936170212765958</v>
      </c>
    </row>
    <row r="56" spans="1:18" x14ac:dyDescent="0.25">
      <c r="A56" s="8" t="s">
        <v>215</v>
      </c>
      <c r="B56" s="12" t="str">
        <f>VLOOKUP(A56,concorrenti!A:B,2,0)</f>
        <v>CLASSIC CLUB ITALIA</v>
      </c>
      <c r="C56" s="12">
        <f>VLOOKUP(A56,concorrenti!A:E,5,1)</f>
        <v>0</v>
      </c>
      <c r="D56" t="s">
        <v>243</v>
      </c>
      <c r="E56" t="s">
        <v>524</v>
      </c>
      <c r="F56">
        <v>1988</v>
      </c>
      <c r="H56" s="4">
        <v>2715</v>
      </c>
      <c r="I56" s="4">
        <f t="shared" si="6"/>
        <v>1.88</v>
      </c>
      <c r="J56" s="4">
        <f t="shared" si="7"/>
        <v>5104.2</v>
      </c>
      <c r="L56">
        <v>46</v>
      </c>
      <c r="M56">
        <f>VLOOKUP(L56,Regolamento!A:B,2,1)</f>
        <v>0.5</v>
      </c>
      <c r="N56" s="4">
        <f t="shared" si="8"/>
        <v>1.47</v>
      </c>
      <c r="O56" s="4">
        <f t="shared" si="9"/>
        <v>1.6</v>
      </c>
      <c r="P56" s="6">
        <f t="shared" si="3"/>
        <v>1.1759999999999999</v>
      </c>
      <c r="R56" s="6">
        <f t="shared" si="4"/>
        <v>57.765957446808514</v>
      </c>
    </row>
    <row r="57" spans="1:18" x14ac:dyDescent="0.25">
      <c r="A57" s="8" t="s">
        <v>213</v>
      </c>
      <c r="B57" s="12" t="str">
        <f>VLOOKUP(A57,concorrenti!A:B,2,0)</f>
        <v>CAVEM</v>
      </c>
      <c r="C57" s="12">
        <f>VLOOKUP(A57,concorrenti!A:E,5,1)</f>
        <v>0</v>
      </c>
      <c r="D57" t="s">
        <v>243</v>
      </c>
      <c r="E57" s="70" t="s">
        <v>525</v>
      </c>
      <c r="F57">
        <v>1991</v>
      </c>
      <c r="G57" s="8"/>
      <c r="H57" s="4">
        <v>2963</v>
      </c>
      <c r="I57" s="4">
        <f t="shared" si="6"/>
        <v>1.9100000000000001</v>
      </c>
      <c r="J57" s="4">
        <f t="shared" si="7"/>
        <v>5659.3300000000008</v>
      </c>
      <c r="L57">
        <v>47</v>
      </c>
      <c r="M57">
        <f>VLOOKUP(L57,Regolamento!A:B,2,1)</f>
        <v>0.5</v>
      </c>
      <c r="N57" s="4">
        <f t="shared" si="8"/>
        <v>1.47</v>
      </c>
      <c r="O57" s="4">
        <f t="shared" si="9"/>
        <v>1.6</v>
      </c>
      <c r="P57" s="6">
        <f t="shared" si="3"/>
        <v>1.1759999999999999</v>
      </c>
      <c r="R57" s="6">
        <f t="shared" si="4"/>
        <v>63.042553191489361</v>
      </c>
    </row>
    <row r="58" spans="1:18" x14ac:dyDescent="0.25">
      <c r="A58" s="8" t="s">
        <v>484</v>
      </c>
      <c r="B58" s="12" t="str">
        <f>VLOOKUP(A58,concorrenti!A:B,2,0)</f>
        <v>CLASSIC CLUB ITALIA</v>
      </c>
      <c r="C58" s="12">
        <f>VLOOKUP(A58,concorrenti!A:E,5,1)</f>
        <v>0</v>
      </c>
      <c r="D58" t="s">
        <v>236</v>
      </c>
      <c r="E58" t="s">
        <v>506</v>
      </c>
      <c r="F58">
        <v>1957</v>
      </c>
      <c r="H58" s="4">
        <v>3705</v>
      </c>
      <c r="I58" s="4">
        <v>2.0099999999999998</v>
      </c>
      <c r="J58" s="4">
        <f t="shared" si="7"/>
        <v>7447.0499999999993</v>
      </c>
      <c r="L58">
        <v>48</v>
      </c>
      <c r="M58">
        <f>VLOOKUP(L58,Regolamento!A:B,2,1)</f>
        <v>0.5</v>
      </c>
      <c r="N58" s="4">
        <f t="shared" si="8"/>
        <v>1.47</v>
      </c>
      <c r="O58" s="4">
        <f t="shared" si="9"/>
        <v>1.6</v>
      </c>
      <c r="P58" s="6">
        <f t="shared" si="3"/>
        <v>1.1759999999999999</v>
      </c>
      <c r="R58" s="6">
        <f t="shared" si="4"/>
        <v>78.829787234042556</v>
      </c>
    </row>
    <row r="59" spans="1:18" x14ac:dyDescent="0.25">
      <c r="A59" s="8" t="s">
        <v>348</v>
      </c>
      <c r="B59" s="12" t="str">
        <f>VLOOKUP(A59,concorrenti!A:B,2,0)</f>
        <v>VCC COMO</v>
      </c>
      <c r="C59" s="12">
        <f>VLOOKUP(A59,concorrenti!A:E,5,1)</f>
        <v>0</v>
      </c>
      <c r="D59" t="s">
        <v>521</v>
      </c>
      <c r="E59" t="s">
        <v>522</v>
      </c>
      <c r="F59">
        <v>1978</v>
      </c>
      <c r="H59" s="4">
        <v>4323</v>
      </c>
      <c r="I59" s="4">
        <v>2</v>
      </c>
      <c r="J59" s="4">
        <f t="shared" si="7"/>
        <v>8646</v>
      </c>
      <c r="L59">
        <v>49</v>
      </c>
      <c r="M59">
        <f>VLOOKUP(L59,Regolamento!A:B,2,1)</f>
        <v>0.5</v>
      </c>
      <c r="N59" s="4">
        <f t="shared" si="8"/>
        <v>1.47</v>
      </c>
      <c r="O59" s="4">
        <f t="shared" si="9"/>
        <v>1.6</v>
      </c>
      <c r="P59" s="6">
        <f t="shared" si="3"/>
        <v>1.1759999999999999</v>
      </c>
      <c r="R59" s="6">
        <f t="shared" si="4"/>
        <v>91.978723404255319</v>
      </c>
    </row>
    <row r="60" spans="1:18" x14ac:dyDescent="0.25">
      <c r="A60" s="8" t="s">
        <v>493</v>
      </c>
      <c r="B60" s="12" t="str">
        <f>VLOOKUP(A60,concorrenti!A:B,2,0)</f>
        <v>VCC COMO</v>
      </c>
      <c r="C60" s="12">
        <f>VLOOKUP(A60,concorrenti!A:E,5,1)</f>
        <v>0</v>
      </c>
      <c r="D60" t="s">
        <v>232</v>
      </c>
      <c r="E60" t="s">
        <v>270</v>
      </c>
      <c r="F60">
        <v>1992</v>
      </c>
      <c r="H60" s="4">
        <v>5707.0000000000009</v>
      </c>
      <c r="I60" s="4">
        <f>1+RIGHT(F60,2)/100</f>
        <v>1.92</v>
      </c>
      <c r="J60" s="4">
        <f t="shared" si="7"/>
        <v>10957.44</v>
      </c>
      <c r="L60">
        <v>50</v>
      </c>
      <c r="M60">
        <f>VLOOKUP(L60,Regolamento!A:B,2,1)</f>
        <v>0.5</v>
      </c>
      <c r="N60" s="4">
        <f t="shared" si="8"/>
        <v>1.47</v>
      </c>
      <c r="O60" s="4">
        <f t="shared" si="9"/>
        <v>1.6</v>
      </c>
      <c r="P60" s="6">
        <f t="shared" si="3"/>
        <v>1.1759999999999999</v>
      </c>
      <c r="R60" s="6">
        <f t="shared" si="4"/>
        <v>121.42553191489364</v>
      </c>
    </row>
    <row r="61" spans="1:18" x14ac:dyDescent="0.25">
      <c r="A61" s="8" t="s">
        <v>486</v>
      </c>
      <c r="B61" s="12" t="str">
        <f>VLOOKUP(A61,concorrenti!A:B,2,0)</f>
        <v>VCC COMO</v>
      </c>
      <c r="C61" s="12">
        <f>VLOOKUP(A61,concorrenti!A:E,5,1)</f>
        <v>0</v>
      </c>
      <c r="D61" t="s">
        <v>121</v>
      </c>
      <c r="E61" t="s">
        <v>514</v>
      </c>
      <c r="F61">
        <v>1969</v>
      </c>
      <c r="H61" s="4">
        <v>6663</v>
      </c>
      <c r="I61" s="4">
        <f>1+RIGHT(F61,2)/100</f>
        <v>1.69</v>
      </c>
      <c r="J61" s="4">
        <f t="shared" si="7"/>
        <v>11260.47</v>
      </c>
      <c r="L61">
        <v>51</v>
      </c>
      <c r="M61">
        <f>VLOOKUP(L61,Regolamento!A:B,2,1)</f>
        <v>0.5</v>
      </c>
      <c r="N61" s="4">
        <f t="shared" si="8"/>
        <v>1.47</v>
      </c>
      <c r="O61" s="4">
        <f t="shared" si="9"/>
        <v>1.6</v>
      </c>
      <c r="P61" s="6">
        <f t="shared" si="3"/>
        <v>1.1759999999999999</v>
      </c>
      <c r="R61" s="6">
        <f t="shared" si="4"/>
        <v>141.7659574468085</v>
      </c>
    </row>
    <row r="62" spans="1:18" x14ac:dyDescent="0.25">
      <c r="A62" s="8" t="s">
        <v>492</v>
      </c>
      <c r="B62" s="12" t="str">
        <f>VLOOKUP(A62,concorrenti!A:B,2,0)</f>
        <v>VCC COMO</v>
      </c>
      <c r="C62" s="12">
        <f>VLOOKUP(A62,concorrenti!A:E,5,1)</f>
        <v>0</v>
      </c>
      <c r="D62" t="s">
        <v>232</v>
      </c>
      <c r="E62" t="s">
        <v>270</v>
      </c>
      <c r="F62">
        <v>1991</v>
      </c>
      <c r="H62" s="4">
        <v>6433.0000000000009</v>
      </c>
      <c r="I62" s="4">
        <f>1+RIGHT(F62,2)/100</f>
        <v>1.9100000000000001</v>
      </c>
      <c r="J62" s="4">
        <f t="shared" si="7"/>
        <v>12287.030000000002</v>
      </c>
      <c r="L62">
        <v>52</v>
      </c>
      <c r="M62">
        <f>VLOOKUP(L62,Regolamento!A:B,2,1)</f>
        <v>0.5</v>
      </c>
      <c r="N62" s="4">
        <f t="shared" si="8"/>
        <v>1.47</v>
      </c>
      <c r="O62" s="4">
        <f t="shared" si="9"/>
        <v>1.6</v>
      </c>
      <c r="P62" s="6">
        <f t="shared" si="3"/>
        <v>1.1759999999999999</v>
      </c>
      <c r="R62" s="6">
        <f t="shared" si="4"/>
        <v>136.87234042553195</v>
      </c>
    </row>
    <row r="63" spans="1:18" x14ac:dyDescent="0.25">
      <c r="A63" s="8" t="s">
        <v>494</v>
      </c>
      <c r="B63" s="12" t="str">
        <f>VLOOKUP(A63,concorrenti!A:B,2,0)</f>
        <v>VCC COMO</v>
      </c>
      <c r="C63" s="12">
        <f>VLOOKUP(A63,concorrenti!A:E,5,1)</f>
        <v>0</v>
      </c>
      <c r="D63" t="s">
        <v>232</v>
      </c>
      <c r="E63" t="s">
        <v>270</v>
      </c>
      <c r="F63">
        <v>1992</v>
      </c>
      <c r="H63" s="4">
        <v>6619</v>
      </c>
      <c r="I63" s="4">
        <f>1+RIGHT(F63,2)/100</f>
        <v>1.92</v>
      </c>
      <c r="J63" s="4">
        <f t="shared" si="7"/>
        <v>12708.48</v>
      </c>
      <c r="L63">
        <v>53</v>
      </c>
      <c r="M63">
        <f>VLOOKUP(L63,Regolamento!A:B,2,1)</f>
        <v>0.5</v>
      </c>
      <c r="N63" s="4">
        <f t="shared" si="8"/>
        <v>1.47</v>
      </c>
      <c r="O63" s="4">
        <f t="shared" si="9"/>
        <v>1.6</v>
      </c>
      <c r="P63" s="6">
        <f t="shared" si="3"/>
        <v>1.1759999999999999</v>
      </c>
      <c r="R63" s="6">
        <f t="shared" si="4"/>
        <v>140.82978723404256</v>
      </c>
    </row>
    <row r="64" spans="1:18" x14ac:dyDescent="0.25">
      <c r="A64" s="8" t="s">
        <v>501</v>
      </c>
      <c r="B64" s="12" t="str">
        <f>VLOOKUP(A64,concorrenti!A:B,2,0)</f>
        <v>VCC COMO</v>
      </c>
      <c r="C64" s="12">
        <f>VLOOKUP(A64,concorrenti!A:E,5,1)</f>
        <v>0</v>
      </c>
      <c r="D64" t="s">
        <v>230</v>
      </c>
      <c r="E64" t="s">
        <v>167</v>
      </c>
      <c r="F64">
        <v>2003</v>
      </c>
      <c r="H64" s="4">
        <v>7190</v>
      </c>
      <c r="I64" s="4">
        <v>2.02</v>
      </c>
      <c r="J64" s="4">
        <f t="shared" si="7"/>
        <v>14523.8</v>
      </c>
      <c r="L64">
        <v>54</v>
      </c>
      <c r="M64">
        <f>VLOOKUP(L64,Regolamento!A:B,2,1)</f>
        <v>0.5</v>
      </c>
      <c r="N64" s="4">
        <f t="shared" si="8"/>
        <v>1.47</v>
      </c>
      <c r="O64" s="4">
        <f t="shared" si="9"/>
        <v>1.6</v>
      </c>
      <c r="P64" s="6">
        <f t="shared" si="3"/>
        <v>1.1759999999999999</v>
      </c>
      <c r="R64" s="6">
        <f t="shared" si="4"/>
        <v>152.97872340425531</v>
      </c>
    </row>
    <row r="65" spans="1:18" x14ac:dyDescent="0.25">
      <c r="A65" s="8" t="s">
        <v>500</v>
      </c>
      <c r="B65" s="12" t="str">
        <f>VLOOKUP(A65,concorrenti!A:B,2,0)</f>
        <v>VCC COMO</v>
      </c>
      <c r="C65" s="12">
        <f>VLOOKUP(A65,concorrenti!A:E,5,1)</f>
        <v>0</v>
      </c>
      <c r="D65" t="s">
        <v>151</v>
      </c>
      <c r="E65" t="s">
        <v>537</v>
      </c>
      <c r="F65">
        <v>2002</v>
      </c>
      <c r="H65" s="4">
        <v>7193</v>
      </c>
      <c r="I65" s="4">
        <v>2.0299999999999998</v>
      </c>
      <c r="J65" s="4">
        <f t="shared" si="7"/>
        <v>14601.789999999999</v>
      </c>
      <c r="L65">
        <v>55</v>
      </c>
      <c r="M65">
        <f>VLOOKUP(L65,Regolamento!A:B,2,1)</f>
        <v>0.5</v>
      </c>
      <c r="N65" s="4">
        <f t="shared" ref="N65:N69" si="10">1+E$5/100</f>
        <v>1.47</v>
      </c>
      <c r="O65" s="4">
        <f t="shared" ref="O65:O69" si="11">1+E$6/100</f>
        <v>1.6</v>
      </c>
      <c r="P65" s="6">
        <f t="shared" ref="P65:P69" si="12">IF(H65&lt;&gt;0,+M65*N65*O65,0)</f>
        <v>1.1759999999999999</v>
      </c>
      <c r="R65" s="6">
        <f t="shared" si="4"/>
        <v>153.04255319148936</v>
      </c>
    </row>
    <row r="66" spans="1:18" x14ac:dyDescent="0.25">
      <c r="A66" s="8" t="s">
        <v>495</v>
      </c>
      <c r="B66" s="12" t="str">
        <f>VLOOKUP(A66,concorrenti!A:B,2,0)</f>
        <v>VCC COMO</v>
      </c>
      <c r="C66" s="12">
        <f>VLOOKUP(A66,concorrenti!A:E,5,1)</f>
        <v>0</v>
      </c>
      <c r="D66" t="s">
        <v>121</v>
      </c>
      <c r="E66" t="s">
        <v>528</v>
      </c>
      <c r="F66">
        <v>1995</v>
      </c>
      <c r="H66" s="4">
        <v>33333</v>
      </c>
      <c r="I66" s="4">
        <f>1+RIGHT(F66,2)/100</f>
        <v>1.95</v>
      </c>
      <c r="J66" s="4">
        <f t="shared" si="7"/>
        <v>64999.35</v>
      </c>
      <c r="L66">
        <v>56</v>
      </c>
      <c r="M66">
        <f>VLOOKUP(L66,Regolamento!A:B,2,1)</f>
        <v>0.5</v>
      </c>
      <c r="N66" s="4">
        <f t="shared" si="10"/>
        <v>1.47</v>
      </c>
      <c r="O66" s="4">
        <f t="shared" si="11"/>
        <v>1.6</v>
      </c>
      <c r="P66" s="6">
        <f t="shared" si="12"/>
        <v>1.1759999999999999</v>
      </c>
      <c r="R66" s="6" t="s">
        <v>543</v>
      </c>
    </row>
    <row r="67" spans="1:18" x14ac:dyDescent="0.25">
      <c r="A67" s="8" t="s">
        <v>499</v>
      </c>
      <c r="B67" s="12" t="str">
        <f>VLOOKUP(A67,concorrenti!A:B,2,0)</f>
        <v>VCC COMO</v>
      </c>
      <c r="C67" s="12">
        <f>VLOOKUP(A67,concorrenti!A:E,5,1)</f>
        <v>0</v>
      </c>
      <c r="D67" t="s">
        <v>535</v>
      </c>
      <c r="E67" t="s">
        <v>536</v>
      </c>
      <c r="F67">
        <v>2001</v>
      </c>
      <c r="H67" s="4">
        <v>497511.94029850751</v>
      </c>
      <c r="I67" s="4">
        <f>1+RIGHT(F67,2)/100</f>
        <v>1.01</v>
      </c>
      <c r="J67" s="4">
        <f t="shared" si="7"/>
        <v>502487.0597014926</v>
      </c>
      <c r="L67">
        <v>57</v>
      </c>
      <c r="M67">
        <f>VLOOKUP(L67,Regolamento!A:B,2,1)</f>
        <v>0.5</v>
      </c>
      <c r="N67" s="4">
        <f t="shared" si="10"/>
        <v>1.47</v>
      </c>
      <c r="O67" s="4">
        <f t="shared" si="11"/>
        <v>1.6</v>
      </c>
      <c r="P67" s="6">
        <f t="shared" si="12"/>
        <v>1.1759999999999999</v>
      </c>
      <c r="R67" s="6" t="s">
        <v>543</v>
      </c>
    </row>
    <row r="68" spans="1:18" x14ac:dyDescent="0.25">
      <c r="A68" s="8" t="s">
        <v>496</v>
      </c>
      <c r="B68" s="12" t="str">
        <f>VLOOKUP(A68,concorrenti!A:B,2,0)</f>
        <v>VCC COMO</v>
      </c>
      <c r="C68" s="12">
        <f>VLOOKUP(A68,concorrenti!A:E,5,1)</f>
        <v>0</v>
      </c>
      <c r="D68" t="s">
        <v>529</v>
      </c>
      <c r="E68" t="s">
        <v>530</v>
      </c>
      <c r="F68">
        <v>1996</v>
      </c>
      <c r="H68" s="4">
        <v>333333</v>
      </c>
      <c r="I68" s="4">
        <f>1+RIGHT(F68,2)/100</f>
        <v>1.96</v>
      </c>
      <c r="J68" s="4">
        <f t="shared" si="7"/>
        <v>653332.67999999993</v>
      </c>
      <c r="L68">
        <v>58</v>
      </c>
      <c r="M68">
        <f>VLOOKUP(L68,Regolamento!A:B,2,1)</f>
        <v>0.5</v>
      </c>
      <c r="N68" s="4">
        <f t="shared" si="10"/>
        <v>1.47</v>
      </c>
      <c r="O68" s="4">
        <f t="shared" si="11"/>
        <v>1.6</v>
      </c>
      <c r="P68" s="6">
        <f t="shared" si="12"/>
        <v>1.1759999999999999</v>
      </c>
      <c r="R68" s="6" t="s">
        <v>543</v>
      </c>
    </row>
    <row r="69" spans="1:18" x14ac:dyDescent="0.25">
      <c r="A69" s="8" t="s">
        <v>83</v>
      </c>
      <c r="B69" s="12" t="str">
        <f>VLOOKUP(A69,concorrenti!A:B,2,0)</f>
        <v>CASTELLOTTI</v>
      </c>
      <c r="C69" s="12">
        <f>VLOOKUP(A69,concorrenti!A:E,5,1)</f>
        <v>0</v>
      </c>
      <c r="D69" t="s">
        <v>239</v>
      </c>
      <c r="E69" t="s">
        <v>527</v>
      </c>
      <c r="F69">
        <v>1994</v>
      </c>
      <c r="H69" s="4">
        <v>515463.40206185571</v>
      </c>
      <c r="I69" s="4">
        <v>2.0099999999999998</v>
      </c>
      <c r="J69" s="4">
        <f t="shared" si="7"/>
        <v>1036081.4381443298</v>
      </c>
      <c r="L69">
        <v>59</v>
      </c>
      <c r="M69">
        <f>VLOOKUP(L69,Regolamento!A:B,2,1)</f>
        <v>0.5</v>
      </c>
      <c r="N69" s="4">
        <f t="shared" si="10"/>
        <v>1.47</v>
      </c>
      <c r="O69" s="4">
        <f t="shared" si="11"/>
        <v>1.6</v>
      </c>
      <c r="P69" s="6">
        <f t="shared" si="12"/>
        <v>1.1759999999999999</v>
      </c>
      <c r="R69" s="6" t="s">
        <v>543</v>
      </c>
    </row>
    <row r="72" spans="1:18" x14ac:dyDescent="0.25">
      <c r="P72" s="10">
        <f>SUM(P12:P71)</f>
        <v>1986.2639999999983</v>
      </c>
    </row>
    <row r="73" spans="1:18" x14ac:dyDescent="0.25">
      <c r="P73" s="10">
        <f>+P72-Generale!M3</f>
        <v>0</v>
      </c>
    </row>
  </sheetData>
  <sheetProtection algorithmName="SHA-512" hashValue="dP+6rvJDhDr78xYANKSnvXv3riTVv71h1reibzHsHiVbIDz12AYMGL09gucLT+Bn0U39n56Stplx9/hfC44dNQ==" saltValue="yMnUIe/pmH5W+I+vRx2//w==" spinCount="100000" sheet="1" objects="1" scenarios="1"/>
  <sortState xmlns:xlrd2="http://schemas.microsoft.com/office/spreadsheetml/2017/richdata2" ref="A12:J69">
    <sortCondition ref="J12:J69"/>
  </sortState>
  <mergeCells count="3">
    <mergeCell ref="H1:P1"/>
    <mergeCell ref="H8:J8"/>
    <mergeCell ref="N8:O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65DE3-D580-43F1-8412-29F96DEA4B1D}">
  <sheetPr>
    <tabColor rgb="FF92D050"/>
  </sheetPr>
  <dimension ref="A1:V42"/>
  <sheetViews>
    <sheetView workbookViewId="0">
      <selection activeCell="U11" sqref="U11"/>
    </sheetView>
  </sheetViews>
  <sheetFormatPr defaultRowHeight="15" x14ac:dyDescent="0.25"/>
  <cols>
    <col min="1" max="1" width="23.140625" bestFit="1" customWidth="1"/>
    <col min="2" max="2" width="13.7109375" bestFit="1" customWidth="1"/>
    <col min="3" max="3" width="9.85546875" bestFit="1" customWidth="1"/>
    <col min="4" max="4" width="14.5703125" bestFit="1" customWidth="1"/>
    <col min="5" max="5" width="17" bestFit="1" customWidth="1"/>
    <col min="6" max="6" width="5.7109375" bestFit="1" customWidth="1"/>
    <col min="7" max="7" width="2.42578125" customWidth="1"/>
    <col min="8" max="8" width="8.28515625" bestFit="1" customWidth="1"/>
    <col min="9" max="9" width="6" style="4" bestFit="1" customWidth="1"/>
    <col min="10" max="10" width="13.28515625" style="4" bestFit="1" customWidth="1"/>
    <col min="11" max="11" width="3" customWidth="1"/>
    <col min="12" max="13" width="5.7109375" bestFit="1" customWidth="1"/>
    <col min="14" max="14" width="6.140625" bestFit="1" customWidth="1"/>
    <col min="15" max="15" width="8.140625" bestFit="1" customWidth="1"/>
    <col min="16" max="16" width="9.5703125" bestFit="1" customWidth="1"/>
    <col min="17" max="17" width="2.5703125" customWidth="1"/>
    <col min="20" max="20" width="19.140625" bestFit="1" customWidth="1"/>
  </cols>
  <sheetData>
    <row r="1" spans="1:22" ht="15.75" x14ac:dyDescent="0.25">
      <c r="A1" t="s">
        <v>47</v>
      </c>
      <c r="H1" s="141" t="s">
        <v>111</v>
      </c>
      <c r="I1" s="141"/>
      <c r="J1" s="141"/>
      <c r="K1" s="141"/>
      <c r="L1" s="141"/>
      <c r="M1" s="141"/>
      <c r="N1" s="141"/>
      <c r="O1" s="141"/>
      <c r="P1" s="141"/>
      <c r="T1" t="s">
        <v>99</v>
      </c>
      <c r="U1" s="4">
        <v>339.68</v>
      </c>
      <c r="V1">
        <v>15</v>
      </c>
    </row>
    <row r="2" spans="1:22" x14ac:dyDescent="0.25">
      <c r="A2" t="s">
        <v>48</v>
      </c>
      <c r="E2" s="35">
        <v>45214</v>
      </c>
      <c r="T2" t="s">
        <v>98</v>
      </c>
      <c r="U2" s="4">
        <v>333.35</v>
      </c>
      <c r="V2">
        <v>12</v>
      </c>
    </row>
    <row r="3" spans="1:22" x14ac:dyDescent="0.25">
      <c r="A3" t="s">
        <v>65</v>
      </c>
      <c r="E3" s="35" t="s">
        <v>68</v>
      </c>
      <c r="T3" t="s">
        <v>175</v>
      </c>
      <c r="U3" s="4">
        <v>289.04000000000002</v>
      </c>
      <c r="V3">
        <v>10</v>
      </c>
    </row>
    <row r="4" spans="1:22" x14ac:dyDescent="0.25">
      <c r="A4" t="s">
        <v>52</v>
      </c>
      <c r="E4" s="1" t="s">
        <v>298</v>
      </c>
      <c r="T4" t="s">
        <v>68</v>
      </c>
      <c r="U4" s="4">
        <v>189.88</v>
      </c>
      <c r="V4">
        <v>8</v>
      </c>
    </row>
    <row r="5" spans="1:22" x14ac:dyDescent="0.25">
      <c r="A5" t="s">
        <v>50</v>
      </c>
      <c r="E5" s="1">
        <v>54</v>
      </c>
      <c r="T5" t="s">
        <v>66</v>
      </c>
      <c r="U5" s="4">
        <v>173</v>
      </c>
      <c r="V5">
        <v>7</v>
      </c>
    </row>
    <row r="6" spans="1:22" x14ac:dyDescent="0.25">
      <c r="A6" t="s">
        <v>51</v>
      </c>
      <c r="E6" s="1">
        <v>37</v>
      </c>
      <c r="T6" t="s">
        <v>100</v>
      </c>
      <c r="U6" s="4">
        <v>90.72</v>
      </c>
      <c r="V6">
        <v>6</v>
      </c>
    </row>
    <row r="7" spans="1:22" x14ac:dyDescent="0.25">
      <c r="D7" s="1"/>
      <c r="T7" t="s">
        <v>376</v>
      </c>
      <c r="U7" s="4">
        <v>65.400000000000006</v>
      </c>
      <c r="V7">
        <v>5</v>
      </c>
    </row>
    <row r="8" spans="1:22" x14ac:dyDescent="0.25">
      <c r="A8" s="36" t="s">
        <v>44</v>
      </c>
      <c r="B8" s="96" t="s">
        <v>483</v>
      </c>
      <c r="C8" s="74" t="s">
        <v>46</v>
      </c>
      <c r="D8" s="18" t="s">
        <v>55</v>
      </c>
      <c r="E8" s="18" t="s">
        <v>56</v>
      </c>
      <c r="F8" s="19" t="s">
        <v>57</v>
      </c>
      <c r="H8" s="142" t="s">
        <v>53</v>
      </c>
      <c r="I8" s="140"/>
      <c r="J8" s="143"/>
      <c r="K8" s="2"/>
      <c r="L8" s="27" t="s">
        <v>54</v>
      </c>
      <c r="M8" s="30"/>
      <c r="N8" s="140" t="s">
        <v>8</v>
      </c>
      <c r="O8" s="140"/>
      <c r="P8" s="31"/>
      <c r="T8" t="s">
        <v>7</v>
      </c>
      <c r="U8" s="4"/>
      <c r="V8" t="s">
        <v>7</v>
      </c>
    </row>
    <row r="9" spans="1:22" x14ac:dyDescent="0.25">
      <c r="H9" s="20" t="s">
        <v>36</v>
      </c>
      <c r="I9" s="21" t="s">
        <v>38</v>
      </c>
      <c r="J9" s="22" t="s">
        <v>0</v>
      </c>
      <c r="K9" s="7"/>
      <c r="L9" s="28"/>
      <c r="M9" s="32" t="s">
        <v>0</v>
      </c>
      <c r="N9" s="21" t="s">
        <v>9</v>
      </c>
      <c r="O9" s="21" t="s">
        <v>5</v>
      </c>
      <c r="P9" s="33" t="s">
        <v>11</v>
      </c>
      <c r="U9" s="4"/>
    </row>
    <row r="10" spans="1:22" x14ac:dyDescent="0.25">
      <c r="H10" s="23" t="s">
        <v>37</v>
      </c>
      <c r="I10" s="24"/>
      <c r="J10" s="25" t="s">
        <v>39</v>
      </c>
      <c r="K10" s="6"/>
      <c r="L10" s="29"/>
      <c r="M10" s="34"/>
      <c r="N10" s="24"/>
      <c r="O10" s="24"/>
      <c r="P10" s="25"/>
      <c r="R10" s="7" t="s">
        <v>169</v>
      </c>
      <c r="U10" s="4"/>
    </row>
    <row r="11" spans="1:22" x14ac:dyDescent="0.25">
      <c r="U11" s="4"/>
    </row>
    <row r="12" spans="1:22" x14ac:dyDescent="0.25">
      <c r="A12" s="8" t="s">
        <v>21</v>
      </c>
      <c r="B12" s="12" t="str">
        <f>VLOOKUP(A12,concorrenti!A:B,2,0)</f>
        <v>CAVEM</v>
      </c>
      <c r="C12" s="12">
        <f>VLOOKUP(A12,concorrenti!A:E,5,1)</f>
        <v>0</v>
      </c>
      <c r="D12" t="s">
        <v>121</v>
      </c>
      <c r="E12" t="s">
        <v>122</v>
      </c>
      <c r="F12">
        <v>1972</v>
      </c>
      <c r="G12" t="s">
        <v>7</v>
      </c>
      <c r="H12">
        <v>161</v>
      </c>
      <c r="I12" s="4">
        <f>1+RIGHT(F12,2)/100</f>
        <v>1.72</v>
      </c>
      <c r="J12" s="4">
        <f t="shared" ref="J12:J39" si="0">+I12*H12</f>
        <v>276.92</v>
      </c>
      <c r="L12">
        <v>1</v>
      </c>
      <c r="M12">
        <f>VLOOKUP(L12,Regolamento!A:B,2,1)</f>
        <v>50</v>
      </c>
      <c r="N12" s="4">
        <f t="shared" ref="N12:N38" si="1">1+E$5/100</f>
        <v>1.54</v>
      </c>
      <c r="O12" s="4">
        <f t="shared" ref="O12:O38" si="2">1+E$6/100</f>
        <v>1.37</v>
      </c>
      <c r="P12" s="6">
        <f>IF(H12&lt;&gt;0,+M12*N12*O12,0)</f>
        <v>105.49000000000001</v>
      </c>
      <c r="R12" s="6">
        <f>+H12/E$5</f>
        <v>2.9814814814814814</v>
      </c>
    </row>
    <row r="13" spans="1:22" x14ac:dyDescent="0.25">
      <c r="A13" s="8" t="s">
        <v>15</v>
      </c>
      <c r="B13" s="12" t="str">
        <f>VLOOKUP(A13,concorrenti!A:B,2,0)</f>
        <v>OROBICO</v>
      </c>
      <c r="C13" s="12">
        <f>VLOOKUP(A13,concorrenti!A:E,5,1)</f>
        <v>0</v>
      </c>
      <c r="D13" t="s">
        <v>236</v>
      </c>
      <c r="E13" t="s">
        <v>319</v>
      </c>
      <c r="F13">
        <v>1954</v>
      </c>
      <c r="H13">
        <v>193</v>
      </c>
      <c r="I13" s="4">
        <f>1+RIGHT(F13,2)/100</f>
        <v>1.54</v>
      </c>
      <c r="J13" s="4">
        <f t="shared" si="0"/>
        <v>297.22000000000003</v>
      </c>
      <c r="L13">
        <v>2</v>
      </c>
      <c r="M13">
        <f>VLOOKUP(L13,Regolamento!A:B,2,1)</f>
        <v>45</v>
      </c>
      <c r="N13" s="4">
        <f t="shared" si="1"/>
        <v>1.54</v>
      </c>
      <c r="O13" s="4">
        <f t="shared" si="2"/>
        <v>1.37</v>
      </c>
      <c r="P13" s="6">
        <f t="shared" ref="P13:P38" si="3">IF(H13&lt;&gt;0,+M13*N13*O13,0)</f>
        <v>94.941000000000003</v>
      </c>
      <c r="R13" s="6">
        <f t="shared" ref="R13:R39" si="4">+H13/E$5</f>
        <v>3.574074074074074</v>
      </c>
    </row>
    <row r="14" spans="1:22" x14ac:dyDescent="0.25">
      <c r="A14" s="8" t="s">
        <v>190</v>
      </c>
      <c r="B14" s="12" t="str">
        <f>VLOOKUP(A14,concorrenti!A:B,2,0)</f>
        <v>CASTELLOTTI</v>
      </c>
      <c r="C14" s="12" t="str">
        <f>VLOOKUP(A14,concorrenti!A:E,5,1)</f>
        <v>X</v>
      </c>
      <c r="D14" t="s">
        <v>121</v>
      </c>
      <c r="E14" t="s">
        <v>557</v>
      </c>
      <c r="F14">
        <v>1969</v>
      </c>
      <c r="H14">
        <v>195</v>
      </c>
      <c r="I14" s="4">
        <f>IF(C14&lt;&gt;0,((1+RIGHT(F14,2)/100)-0.1),(1+RIGHT(F14,2)/100))</f>
        <v>1.5899999999999999</v>
      </c>
      <c r="J14" s="4">
        <f t="shared" si="0"/>
        <v>310.04999999999995</v>
      </c>
      <c r="L14">
        <v>3</v>
      </c>
      <c r="M14">
        <f>VLOOKUP(L14,Regolamento!A:B,2,1)</f>
        <v>41</v>
      </c>
      <c r="N14" s="4">
        <f t="shared" si="1"/>
        <v>1.54</v>
      </c>
      <c r="O14" s="4">
        <f t="shared" si="2"/>
        <v>1.37</v>
      </c>
      <c r="P14" s="6">
        <f t="shared" si="3"/>
        <v>86.501800000000003</v>
      </c>
      <c r="R14" s="6">
        <f t="shared" si="4"/>
        <v>3.6111111111111112</v>
      </c>
    </row>
    <row r="15" spans="1:22" x14ac:dyDescent="0.25">
      <c r="A15" s="8" t="s">
        <v>217</v>
      </c>
      <c r="B15" s="12" t="str">
        <f>VLOOKUP(A15,concorrenti!A:B,2,0)</f>
        <v>OROBICO</v>
      </c>
      <c r="C15" s="12" t="str">
        <f>VLOOKUP(A15,concorrenti!A:E,5,1)</f>
        <v>X</v>
      </c>
      <c r="D15" t="s">
        <v>232</v>
      </c>
      <c r="E15" t="s">
        <v>282</v>
      </c>
      <c r="F15">
        <v>1972</v>
      </c>
      <c r="H15">
        <v>209</v>
      </c>
      <c r="I15" s="4">
        <f>IF(C15&lt;&gt;0,((1+RIGHT(F15,2)/100)-0.1),(1+RIGHT(F15,2)/100))</f>
        <v>1.6199999999999999</v>
      </c>
      <c r="J15" s="4">
        <f t="shared" si="0"/>
        <v>338.58</v>
      </c>
      <c r="L15">
        <v>4</v>
      </c>
      <c r="M15">
        <f>VLOOKUP(L15,Regolamento!A:B,2,1)</f>
        <v>38</v>
      </c>
      <c r="N15" s="4">
        <f t="shared" si="1"/>
        <v>1.54</v>
      </c>
      <c r="O15" s="4">
        <f t="shared" si="2"/>
        <v>1.37</v>
      </c>
      <c r="P15" s="6">
        <f t="shared" si="3"/>
        <v>80.17240000000001</v>
      </c>
      <c r="R15" s="6">
        <f t="shared" si="4"/>
        <v>3.8703703703703702</v>
      </c>
    </row>
    <row r="16" spans="1:22" x14ac:dyDescent="0.25">
      <c r="A16" s="8" t="s">
        <v>222</v>
      </c>
      <c r="B16" s="12" t="str">
        <f>VLOOKUP(A16,concorrenti!A:B,2,0)</f>
        <v>VCC COMO</v>
      </c>
      <c r="C16" s="12">
        <f>VLOOKUP(A16,concorrenti!A:E,5,1)</f>
        <v>0</v>
      </c>
      <c r="D16" t="s">
        <v>121</v>
      </c>
      <c r="E16" t="s">
        <v>273</v>
      </c>
      <c r="F16">
        <v>1956</v>
      </c>
      <c r="H16">
        <v>234</v>
      </c>
      <c r="I16" s="4">
        <f t="shared" ref="I16:I24" si="5">1+RIGHT(F16,2)/100</f>
        <v>1.56</v>
      </c>
      <c r="J16" s="4">
        <f t="shared" si="0"/>
        <v>365.04</v>
      </c>
      <c r="L16">
        <v>5</v>
      </c>
      <c r="M16">
        <f>VLOOKUP(L16,Regolamento!A:B,2,1)</f>
        <v>36</v>
      </c>
      <c r="N16" s="4">
        <f t="shared" si="1"/>
        <v>1.54</v>
      </c>
      <c r="O16" s="4">
        <f t="shared" si="2"/>
        <v>1.37</v>
      </c>
      <c r="P16" s="6">
        <f t="shared" si="3"/>
        <v>75.952799999999996</v>
      </c>
      <c r="R16" s="6">
        <f t="shared" si="4"/>
        <v>4.333333333333333</v>
      </c>
    </row>
    <row r="17" spans="1:18" x14ac:dyDescent="0.25">
      <c r="A17" s="8" t="s">
        <v>76</v>
      </c>
      <c r="B17" s="12" t="str">
        <f>VLOOKUP(A17,concorrenti!A:B,2,0)</f>
        <v>CASTELLOTTI</v>
      </c>
      <c r="C17" s="12">
        <f>VLOOKUP(A17,concorrenti!A:E,5,1)</f>
        <v>0</v>
      </c>
      <c r="D17" t="s">
        <v>121</v>
      </c>
      <c r="E17" t="s">
        <v>122</v>
      </c>
      <c r="F17">
        <v>1970</v>
      </c>
      <c r="H17">
        <v>218</v>
      </c>
      <c r="I17" s="4">
        <f t="shared" si="5"/>
        <v>1.7</v>
      </c>
      <c r="J17" s="4">
        <f t="shared" si="0"/>
        <v>370.59999999999997</v>
      </c>
      <c r="K17" s="9"/>
      <c r="L17">
        <v>6</v>
      </c>
      <c r="M17">
        <f>VLOOKUP(L17,Regolamento!A:B,2,1)</f>
        <v>35</v>
      </c>
      <c r="N17" s="4">
        <f t="shared" si="1"/>
        <v>1.54</v>
      </c>
      <c r="O17" s="4">
        <f t="shared" si="2"/>
        <v>1.37</v>
      </c>
      <c r="P17" s="6">
        <f t="shared" si="3"/>
        <v>73.843000000000004</v>
      </c>
      <c r="R17" s="6">
        <f t="shared" si="4"/>
        <v>4.0370370370370372</v>
      </c>
    </row>
    <row r="18" spans="1:18" x14ac:dyDescent="0.25">
      <c r="A18" s="8" t="s">
        <v>309</v>
      </c>
      <c r="B18" s="12" t="str">
        <f>VLOOKUP(A18,concorrenti!A:B,2,0)</f>
        <v>VCC COMO</v>
      </c>
      <c r="C18" s="12">
        <f>VLOOKUP(A18,concorrenti!A:E,5,1)</f>
        <v>0</v>
      </c>
      <c r="D18" t="s">
        <v>121</v>
      </c>
      <c r="E18" t="s">
        <v>123</v>
      </c>
      <c r="F18">
        <v>1937</v>
      </c>
      <c r="H18">
        <v>288</v>
      </c>
      <c r="I18" s="4">
        <f t="shared" si="5"/>
        <v>1.37</v>
      </c>
      <c r="J18" s="4">
        <f t="shared" si="0"/>
        <v>394.56000000000006</v>
      </c>
      <c r="L18">
        <v>7</v>
      </c>
      <c r="M18">
        <f>VLOOKUP(L18,Regolamento!A:B,2,1)</f>
        <v>34</v>
      </c>
      <c r="N18" s="4">
        <f t="shared" si="1"/>
        <v>1.54</v>
      </c>
      <c r="O18" s="4">
        <f t="shared" si="2"/>
        <v>1.37</v>
      </c>
      <c r="P18" s="6">
        <f t="shared" si="3"/>
        <v>71.733200000000011</v>
      </c>
      <c r="R18" s="6">
        <f t="shared" si="4"/>
        <v>5.333333333333333</v>
      </c>
    </row>
    <row r="19" spans="1:18" x14ac:dyDescent="0.25">
      <c r="A19" s="9" t="s">
        <v>23</v>
      </c>
      <c r="B19" s="12" t="str">
        <f>VLOOKUP(A19,concorrenti!A:B,2,0)</f>
        <v>CASTELLOTTI</v>
      </c>
      <c r="C19" s="12">
        <f>VLOOKUP(A19,concorrenti!A:E,5,1)</f>
        <v>0</v>
      </c>
      <c r="D19" t="s">
        <v>234</v>
      </c>
      <c r="E19" t="s">
        <v>287</v>
      </c>
      <c r="F19">
        <v>1976</v>
      </c>
      <c r="G19" s="9"/>
      <c r="H19">
        <v>257</v>
      </c>
      <c r="I19" s="4">
        <f t="shared" si="5"/>
        <v>1.76</v>
      </c>
      <c r="J19" s="4">
        <f t="shared" si="0"/>
        <v>452.32</v>
      </c>
      <c r="L19">
        <v>8</v>
      </c>
      <c r="M19">
        <f>VLOOKUP(L19,Regolamento!A:B,2,1)</f>
        <v>33</v>
      </c>
      <c r="N19" s="4">
        <f t="shared" si="1"/>
        <v>1.54</v>
      </c>
      <c r="O19" s="4">
        <f t="shared" si="2"/>
        <v>1.37</v>
      </c>
      <c r="P19" s="6">
        <f t="shared" si="3"/>
        <v>69.623400000000004</v>
      </c>
      <c r="R19" s="6">
        <f t="shared" si="4"/>
        <v>4.7592592592592595</v>
      </c>
    </row>
    <row r="20" spans="1:18" x14ac:dyDescent="0.25">
      <c r="A20" s="8" t="s">
        <v>224</v>
      </c>
      <c r="B20" s="12" t="str">
        <f>VLOOKUP(A20,concorrenti!A:B,2,0)</f>
        <v>VCC COMO</v>
      </c>
      <c r="C20" s="12">
        <f>VLOOKUP(A20,concorrenti!A:E,5,1)</f>
        <v>0</v>
      </c>
      <c r="D20" t="s">
        <v>244</v>
      </c>
      <c r="E20" t="s">
        <v>357</v>
      </c>
      <c r="F20">
        <v>1963</v>
      </c>
      <c r="H20">
        <v>278</v>
      </c>
      <c r="I20" s="4">
        <f t="shared" si="5"/>
        <v>1.63</v>
      </c>
      <c r="J20" s="4">
        <f t="shared" si="0"/>
        <v>453.14</v>
      </c>
      <c r="L20">
        <v>9</v>
      </c>
      <c r="M20">
        <f>VLOOKUP(L20,Regolamento!A:B,2,1)</f>
        <v>32</v>
      </c>
      <c r="N20" s="4">
        <f t="shared" si="1"/>
        <v>1.54</v>
      </c>
      <c r="O20" s="4">
        <f t="shared" si="2"/>
        <v>1.37</v>
      </c>
      <c r="P20" s="6">
        <f t="shared" si="3"/>
        <v>67.513600000000011</v>
      </c>
      <c r="R20" s="6">
        <f>+H20/E$5</f>
        <v>5.1481481481481479</v>
      </c>
    </row>
    <row r="21" spans="1:18" x14ac:dyDescent="0.25">
      <c r="A21" s="8" t="s">
        <v>17</v>
      </c>
      <c r="B21" s="12" t="str">
        <f>VLOOKUP(A21,concorrenti!A:B,2,0)</f>
        <v>VAMS</v>
      </c>
      <c r="C21" s="12">
        <f>VLOOKUP(A21,concorrenti!A:E,5,1)</f>
        <v>0</v>
      </c>
      <c r="D21" t="s">
        <v>232</v>
      </c>
      <c r="E21" t="s">
        <v>282</v>
      </c>
      <c r="F21">
        <v>1972</v>
      </c>
      <c r="H21">
        <v>297</v>
      </c>
      <c r="I21" s="4">
        <f t="shared" si="5"/>
        <v>1.72</v>
      </c>
      <c r="J21" s="4">
        <f t="shared" si="0"/>
        <v>510.84</v>
      </c>
      <c r="L21">
        <v>10</v>
      </c>
      <c r="M21">
        <f>VLOOKUP(L21,Regolamento!A:B,2,1)</f>
        <v>31</v>
      </c>
      <c r="N21" s="4">
        <f t="shared" si="1"/>
        <v>1.54</v>
      </c>
      <c r="O21" s="4">
        <f t="shared" si="2"/>
        <v>1.37</v>
      </c>
      <c r="P21" s="6">
        <f t="shared" si="3"/>
        <v>65.403800000000004</v>
      </c>
      <c r="R21" s="6">
        <f t="shared" si="4"/>
        <v>5.5</v>
      </c>
    </row>
    <row r="22" spans="1:18" x14ac:dyDescent="0.25">
      <c r="A22" s="8" t="s">
        <v>81</v>
      </c>
      <c r="B22" s="12" t="str">
        <f>VLOOKUP(A22,concorrenti!A:B,2,0)</f>
        <v>CASTELLOTTI</v>
      </c>
      <c r="C22" s="12">
        <f>VLOOKUP(A22,concorrenti!A:E,5,1)</f>
        <v>0</v>
      </c>
      <c r="D22" t="s">
        <v>151</v>
      </c>
      <c r="E22" t="s">
        <v>152</v>
      </c>
      <c r="F22">
        <v>1981</v>
      </c>
      <c r="H22">
        <v>389</v>
      </c>
      <c r="I22" s="4">
        <f t="shared" si="5"/>
        <v>1.81</v>
      </c>
      <c r="J22" s="4">
        <f t="shared" si="0"/>
        <v>704.09</v>
      </c>
      <c r="L22">
        <v>11</v>
      </c>
      <c r="M22">
        <f>VLOOKUP(L22,Regolamento!A:B,2,1)</f>
        <v>30</v>
      </c>
      <c r="N22" s="4">
        <f t="shared" si="1"/>
        <v>1.54</v>
      </c>
      <c r="O22" s="4">
        <f t="shared" si="2"/>
        <v>1.37</v>
      </c>
      <c r="P22" s="6">
        <f t="shared" si="3"/>
        <v>63.294000000000011</v>
      </c>
      <c r="R22" s="6">
        <f t="shared" si="4"/>
        <v>7.2037037037037033</v>
      </c>
    </row>
    <row r="23" spans="1:18" x14ac:dyDescent="0.25">
      <c r="A23" s="8" t="s">
        <v>315</v>
      </c>
      <c r="B23" s="12" t="str">
        <f>VLOOKUP(A23,concorrenti!A:B,2,0)</f>
        <v>VALTELLINA</v>
      </c>
      <c r="C23" s="12">
        <f>VLOOKUP(A23,concorrenti!A:E,5,1)</f>
        <v>0</v>
      </c>
      <c r="D23" t="s">
        <v>232</v>
      </c>
      <c r="E23" t="s">
        <v>523</v>
      </c>
      <c r="F23">
        <v>1987</v>
      </c>
      <c r="H23">
        <v>382</v>
      </c>
      <c r="I23" s="4">
        <f t="shared" si="5"/>
        <v>1.87</v>
      </c>
      <c r="J23" s="4">
        <f t="shared" si="0"/>
        <v>714.34</v>
      </c>
      <c r="L23">
        <v>12</v>
      </c>
      <c r="M23">
        <f>VLOOKUP(L23,Regolamento!A:B,2,1)</f>
        <v>29</v>
      </c>
      <c r="N23" s="4">
        <f t="shared" si="1"/>
        <v>1.54</v>
      </c>
      <c r="O23" s="4">
        <f t="shared" si="2"/>
        <v>1.37</v>
      </c>
      <c r="P23" s="6">
        <f t="shared" si="3"/>
        <v>61.184200000000011</v>
      </c>
      <c r="R23" s="6">
        <f t="shared" si="4"/>
        <v>7.0740740740740744</v>
      </c>
    </row>
    <row r="24" spans="1:18" x14ac:dyDescent="0.25">
      <c r="A24" s="8" t="s">
        <v>16</v>
      </c>
      <c r="B24" s="12" t="str">
        <f>VLOOKUP(A24,concorrenti!A:B,2,0)</f>
        <v>OROBICO</v>
      </c>
      <c r="C24" s="12">
        <f>VLOOKUP(A24,concorrenti!A:E,5,1)</f>
        <v>0</v>
      </c>
      <c r="D24" t="s">
        <v>232</v>
      </c>
      <c r="E24" t="s">
        <v>508</v>
      </c>
      <c r="F24">
        <v>1961</v>
      </c>
      <c r="H24">
        <v>526</v>
      </c>
      <c r="I24" s="4">
        <f t="shared" si="5"/>
        <v>1.6099999999999999</v>
      </c>
      <c r="J24" s="4">
        <f t="shared" si="0"/>
        <v>846.8599999999999</v>
      </c>
      <c r="L24">
        <v>13</v>
      </c>
      <c r="M24">
        <f>VLOOKUP(L24,Regolamento!A:B,2,1)</f>
        <v>28</v>
      </c>
      <c r="N24" s="4">
        <f t="shared" si="1"/>
        <v>1.54</v>
      </c>
      <c r="O24" s="4">
        <f t="shared" si="2"/>
        <v>1.37</v>
      </c>
      <c r="P24" s="6">
        <f t="shared" si="3"/>
        <v>59.074400000000011</v>
      </c>
      <c r="R24" s="6">
        <f t="shared" si="4"/>
        <v>9.7407407407407405</v>
      </c>
    </row>
    <row r="25" spans="1:18" x14ac:dyDescent="0.25">
      <c r="A25" s="8" t="s">
        <v>211</v>
      </c>
      <c r="B25" s="12" t="str">
        <f>VLOOKUP(A25,concorrenti!A:B,2,0)</f>
        <v>CAVEM</v>
      </c>
      <c r="C25" s="12" t="str">
        <f>VLOOKUP(A25,concorrenti!A:E,5,1)</f>
        <v>X</v>
      </c>
      <c r="D25" t="s">
        <v>232</v>
      </c>
      <c r="E25" t="s">
        <v>558</v>
      </c>
      <c r="F25">
        <v>1972</v>
      </c>
      <c r="H25">
        <v>560</v>
      </c>
      <c r="I25" s="4">
        <f>IF(C25&lt;&gt;0,((1+RIGHT(F25,2)/100)-0.1),(1+RIGHT(F25,2)/100))</f>
        <v>1.6199999999999999</v>
      </c>
      <c r="J25" s="4">
        <f t="shared" si="0"/>
        <v>907.19999999999993</v>
      </c>
      <c r="L25">
        <v>14</v>
      </c>
      <c r="M25">
        <f>VLOOKUP(L25,Regolamento!A:B,2,1)</f>
        <v>27</v>
      </c>
      <c r="N25" s="4">
        <f t="shared" si="1"/>
        <v>1.54</v>
      </c>
      <c r="O25" s="4">
        <f t="shared" si="2"/>
        <v>1.37</v>
      </c>
      <c r="P25" s="6">
        <f t="shared" si="3"/>
        <v>56.964600000000004</v>
      </c>
      <c r="R25" s="6">
        <f t="shared" si="4"/>
        <v>10.37037037037037</v>
      </c>
    </row>
    <row r="26" spans="1:18" x14ac:dyDescent="0.25">
      <c r="A26" s="8" t="s">
        <v>28</v>
      </c>
      <c r="B26" s="12" t="str">
        <f>VLOOKUP(A26,concorrenti!A:B,2,0)</f>
        <v>VAMS</v>
      </c>
      <c r="C26" s="12">
        <f>VLOOKUP(A26,concorrenti!A:E,5,1)</f>
        <v>0</v>
      </c>
      <c r="D26" t="s">
        <v>232</v>
      </c>
      <c r="E26" t="s">
        <v>143</v>
      </c>
      <c r="F26">
        <v>1975</v>
      </c>
      <c r="H26">
        <v>535</v>
      </c>
      <c r="I26" s="4">
        <f t="shared" ref="I26:I38" si="6">1+RIGHT(F26,2)/100</f>
        <v>1.75</v>
      </c>
      <c r="J26" s="4">
        <f t="shared" si="0"/>
        <v>936.25</v>
      </c>
      <c r="L26">
        <v>15</v>
      </c>
      <c r="M26">
        <f>VLOOKUP(L26,Regolamento!A:B,2,1)</f>
        <v>26</v>
      </c>
      <c r="N26" s="4">
        <f t="shared" si="1"/>
        <v>1.54</v>
      </c>
      <c r="O26" s="4">
        <f t="shared" si="2"/>
        <v>1.37</v>
      </c>
      <c r="P26" s="6">
        <f t="shared" si="3"/>
        <v>54.854800000000004</v>
      </c>
      <c r="R26" s="6">
        <f t="shared" si="4"/>
        <v>9.9074074074074066</v>
      </c>
    </row>
    <row r="27" spans="1:18" x14ac:dyDescent="0.25">
      <c r="A27" s="8" t="s">
        <v>75</v>
      </c>
      <c r="B27" s="12" t="str">
        <f>VLOOKUP(A27,concorrenti!A:B,2,0)</f>
        <v>VAMS</v>
      </c>
      <c r="C27" s="12">
        <f>VLOOKUP(A27,concorrenti!A:E,5,1)</f>
        <v>0</v>
      </c>
      <c r="D27" t="s">
        <v>234</v>
      </c>
      <c r="E27" t="s">
        <v>287</v>
      </c>
      <c r="F27">
        <v>1972</v>
      </c>
      <c r="G27" s="9"/>
      <c r="H27">
        <v>570</v>
      </c>
      <c r="I27" s="4">
        <f t="shared" si="6"/>
        <v>1.72</v>
      </c>
      <c r="J27" s="4">
        <f t="shared" si="0"/>
        <v>980.4</v>
      </c>
      <c r="L27">
        <v>16</v>
      </c>
      <c r="M27">
        <f>VLOOKUP(L27,Regolamento!A:B,2,1)</f>
        <v>25</v>
      </c>
      <c r="N27" s="4">
        <f t="shared" si="1"/>
        <v>1.54</v>
      </c>
      <c r="O27" s="4">
        <f t="shared" si="2"/>
        <v>1.37</v>
      </c>
      <c r="P27" s="6">
        <f t="shared" si="3"/>
        <v>52.745000000000005</v>
      </c>
      <c r="R27" s="6">
        <f t="shared" si="4"/>
        <v>10.555555555555555</v>
      </c>
    </row>
    <row r="28" spans="1:18" x14ac:dyDescent="0.25">
      <c r="A28" s="8" t="s">
        <v>314</v>
      </c>
      <c r="B28" s="12" t="str">
        <f>VLOOKUP(A28,concorrenti!A:B,2,0)</f>
        <v>OROBICO</v>
      </c>
      <c r="C28" s="12">
        <f>VLOOKUP(A28,concorrenti!A:E,5,1)</f>
        <v>0</v>
      </c>
      <c r="D28" t="s">
        <v>526</v>
      </c>
      <c r="E28" t="s">
        <v>517</v>
      </c>
      <c r="F28">
        <v>1992</v>
      </c>
      <c r="H28">
        <v>560</v>
      </c>
      <c r="I28" s="4">
        <f t="shared" si="6"/>
        <v>1.92</v>
      </c>
      <c r="J28" s="4">
        <f t="shared" si="0"/>
        <v>1075.2</v>
      </c>
      <c r="L28">
        <v>17</v>
      </c>
      <c r="M28">
        <f>VLOOKUP(L28,Regolamento!A:B,2,1)</f>
        <v>24</v>
      </c>
      <c r="N28" s="4">
        <f t="shared" si="1"/>
        <v>1.54</v>
      </c>
      <c r="O28" s="4">
        <f t="shared" si="2"/>
        <v>1.37</v>
      </c>
      <c r="P28" s="6">
        <f t="shared" si="3"/>
        <v>50.635200000000005</v>
      </c>
      <c r="R28" s="6">
        <f t="shared" si="4"/>
        <v>10.37037037037037</v>
      </c>
    </row>
    <row r="29" spans="1:18" x14ac:dyDescent="0.25">
      <c r="A29" s="8" t="s">
        <v>31</v>
      </c>
      <c r="B29" s="12" t="str">
        <f>VLOOKUP(A29,concorrenti!A:B,2,0)</f>
        <v>OROBICO</v>
      </c>
      <c r="C29" s="12">
        <f>VLOOKUP(A29,concorrenti!A:E,5,1)</f>
        <v>0</v>
      </c>
      <c r="D29" t="s">
        <v>121</v>
      </c>
      <c r="E29">
        <v>127</v>
      </c>
      <c r="F29">
        <v>1975</v>
      </c>
      <c r="H29">
        <v>731</v>
      </c>
      <c r="I29" s="4">
        <f t="shared" si="6"/>
        <v>1.75</v>
      </c>
      <c r="J29" s="4">
        <f t="shared" si="0"/>
        <v>1279.25</v>
      </c>
      <c r="L29">
        <v>18</v>
      </c>
      <c r="M29">
        <f>VLOOKUP(L29,Regolamento!A:B,2,1)</f>
        <v>23</v>
      </c>
      <c r="N29" s="4">
        <f t="shared" si="1"/>
        <v>1.54</v>
      </c>
      <c r="O29" s="4">
        <f t="shared" si="2"/>
        <v>1.37</v>
      </c>
      <c r="P29" s="6">
        <f t="shared" si="3"/>
        <v>48.525400000000005</v>
      </c>
      <c r="R29" s="6">
        <f t="shared" si="4"/>
        <v>13.537037037037036</v>
      </c>
    </row>
    <row r="30" spans="1:18" x14ac:dyDescent="0.25">
      <c r="A30" s="8" t="s">
        <v>189</v>
      </c>
      <c r="B30" s="12" t="str">
        <f>VLOOKUP(A30,concorrenti!A:B,2,0)</f>
        <v>CASTELLOTTI</v>
      </c>
      <c r="C30" s="12">
        <f>VLOOKUP(A30,concorrenti!A:E,5,1)</f>
        <v>0</v>
      </c>
      <c r="D30" t="s">
        <v>233</v>
      </c>
      <c r="E30" t="s">
        <v>503</v>
      </c>
      <c r="F30">
        <v>1928</v>
      </c>
      <c r="H30">
        <v>1405</v>
      </c>
      <c r="I30" s="4">
        <f t="shared" si="6"/>
        <v>1.28</v>
      </c>
      <c r="J30" s="4">
        <f t="shared" si="0"/>
        <v>1798.4</v>
      </c>
      <c r="L30">
        <v>19</v>
      </c>
      <c r="M30">
        <f>VLOOKUP(L30,Regolamento!A:B,2,1)</f>
        <v>22</v>
      </c>
      <c r="N30" s="4">
        <f t="shared" si="1"/>
        <v>1.54</v>
      </c>
      <c r="O30" s="4">
        <f t="shared" si="2"/>
        <v>1.37</v>
      </c>
      <c r="P30" s="6">
        <f t="shared" si="3"/>
        <v>46.415600000000005</v>
      </c>
      <c r="R30" s="6">
        <f t="shared" si="4"/>
        <v>26.018518518518519</v>
      </c>
    </row>
    <row r="31" spans="1:18" x14ac:dyDescent="0.25">
      <c r="A31" s="8" t="s">
        <v>219</v>
      </c>
      <c r="B31" s="12" t="str">
        <f>VLOOKUP(A31,concorrenti!A:B,2,0)</f>
        <v>OROBICO</v>
      </c>
      <c r="C31" s="12">
        <f>VLOOKUP(A31,concorrenti!A:E,5,1)</f>
        <v>0</v>
      </c>
      <c r="D31" t="s">
        <v>230</v>
      </c>
      <c r="E31" t="s">
        <v>559</v>
      </c>
      <c r="F31">
        <v>1980</v>
      </c>
      <c r="G31" s="8"/>
      <c r="H31">
        <v>1074</v>
      </c>
      <c r="I31" s="4">
        <f t="shared" si="6"/>
        <v>1.8</v>
      </c>
      <c r="J31" s="4">
        <f t="shared" si="0"/>
        <v>1933.2</v>
      </c>
      <c r="L31">
        <v>20</v>
      </c>
      <c r="M31">
        <f>VLOOKUP(L31,Regolamento!A:B,2,1)</f>
        <v>21</v>
      </c>
      <c r="N31" s="4">
        <f t="shared" si="1"/>
        <v>1.54</v>
      </c>
      <c r="O31" s="4">
        <f t="shared" si="2"/>
        <v>1.37</v>
      </c>
      <c r="P31" s="6">
        <f t="shared" si="3"/>
        <v>44.305800000000005</v>
      </c>
      <c r="R31" s="6">
        <f t="shared" si="4"/>
        <v>19.888888888888889</v>
      </c>
    </row>
    <row r="32" spans="1:18" x14ac:dyDescent="0.25">
      <c r="A32" s="8" t="s">
        <v>87</v>
      </c>
      <c r="B32" s="12" t="str">
        <f>VLOOKUP(A32,concorrenti!A:B,2,0)</f>
        <v>CASTELLOTTI</v>
      </c>
      <c r="C32" s="12">
        <f>VLOOKUP(A32,concorrenti!A:E,5,1)</f>
        <v>0</v>
      </c>
      <c r="D32" t="s">
        <v>235</v>
      </c>
      <c r="E32" t="s">
        <v>291</v>
      </c>
      <c r="F32">
        <v>1965</v>
      </c>
      <c r="H32">
        <v>1281</v>
      </c>
      <c r="I32" s="4">
        <f t="shared" si="6"/>
        <v>1.65</v>
      </c>
      <c r="J32" s="4">
        <f t="shared" si="0"/>
        <v>2113.65</v>
      </c>
      <c r="L32">
        <v>21</v>
      </c>
      <c r="M32">
        <f>VLOOKUP(L32,Regolamento!A:B,2,1)</f>
        <v>20</v>
      </c>
      <c r="N32" s="4">
        <f t="shared" si="1"/>
        <v>1.54</v>
      </c>
      <c r="O32" s="4">
        <f t="shared" si="2"/>
        <v>1.37</v>
      </c>
      <c r="P32" s="6">
        <f t="shared" si="3"/>
        <v>42.196000000000005</v>
      </c>
      <c r="R32" s="6">
        <f t="shared" si="4"/>
        <v>23.722222222222221</v>
      </c>
    </row>
    <row r="33" spans="1:18" x14ac:dyDescent="0.25">
      <c r="A33" s="8" t="s">
        <v>194</v>
      </c>
      <c r="B33" s="12" t="str">
        <f>VLOOKUP(A33,concorrenti!A:B,2,0)</f>
        <v>CASTELLOTTI</v>
      </c>
      <c r="C33" s="12">
        <f>VLOOKUP(A33,concorrenti!A:E,5,1)</f>
        <v>0</v>
      </c>
      <c r="D33" t="s">
        <v>236</v>
      </c>
      <c r="E33" t="s">
        <v>560</v>
      </c>
      <c r="F33">
        <v>1970</v>
      </c>
      <c r="G33" s="8"/>
      <c r="H33">
        <v>1441</v>
      </c>
      <c r="I33" s="4">
        <f t="shared" si="6"/>
        <v>1.7</v>
      </c>
      <c r="J33" s="4">
        <f t="shared" si="0"/>
        <v>2449.6999999999998</v>
      </c>
      <c r="L33">
        <v>22</v>
      </c>
      <c r="M33">
        <f>VLOOKUP(L33,Regolamento!A:B,2,1)</f>
        <v>19</v>
      </c>
      <c r="N33" s="4">
        <f t="shared" si="1"/>
        <v>1.54</v>
      </c>
      <c r="O33" s="4">
        <f t="shared" si="2"/>
        <v>1.37</v>
      </c>
      <c r="P33" s="6">
        <f t="shared" si="3"/>
        <v>40.086200000000005</v>
      </c>
      <c r="R33" s="6">
        <f t="shared" si="4"/>
        <v>26.685185185185187</v>
      </c>
    </row>
    <row r="34" spans="1:18" x14ac:dyDescent="0.25">
      <c r="A34" s="8" t="s">
        <v>227</v>
      </c>
      <c r="B34" s="12" t="str">
        <f>VLOOKUP(A34,concorrenti!A:B,2,0)</f>
        <v>VCC COMO</v>
      </c>
      <c r="C34" s="12">
        <f>VLOOKUP(A34,concorrenti!A:E,5,1)</f>
        <v>0</v>
      </c>
      <c r="D34" t="s">
        <v>151</v>
      </c>
      <c r="E34" t="s">
        <v>362</v>
      </c>
      <c r="F34">
        <v>1997</v>
      </c>
      <c r="H34">
        <v>1570</v>
      </c>
      <c r="I34" s="4">
        <f t="shared" si="6"/>
        <v>1.97</v>
      </c>
      <c r="J34" s="4">
        <f t="shared" si="0"/>
        <v>3092.9</v>
      </c>
      <c r="L34">
        <v>23</v>
      </c>
      <c r="M34">
        <f>VLOOKUP(L34,Regolamento!A:B,2,1)</f>
        <v>18</v>
      </c>
      <c r="N34" s="4">
        <f t="shared" si="1"/>
        <v>1.54</v>
      </c>
      <c r="O34" s="4">
        <f t="shared" si="2"/>
        <v>1.37</v>
      </c>
      <c r="P34" s="6">
        <f t="shared" si="3"/>
        <v>37.976399999999998</v>
      </c>
      <c r="R34" s="6">
        <f t="shared" si="4"/>
        <v>29.074074074074073</v>
      </c>
    </row>
    <row r="35" spans="1:18" x14ac:dyDescent="0.25">
      <c r="A35" s="8" t="s">
        <v>354</v>
      </c>
      <c r="B35" s="12" t="str">
        <f>VLOOKUP(A35,concorrenti!A:B,2,0)</f>
        <v>VCC COMO</v>
      </c>
      <c r="C35" s="12">
        <f>VLOOKUP(A35,concorrenti!A:E,5,1)</f>
        <v>0</v>
      </c>
      <c r="D35" t="s">
        <v>151</v>
      </c>
      <c r="E35" t="s">
        <v>562</v>
      </c>
      <c r="F35">
        <v>2002</v>
      </c>
      <c r="H35">
        <v>3294</v>
      </c>
      <c r="I35" s="4">
        <f t="shared" si="6"/>
        <v>1.02</v>
      </c>
      <c r="J35" s="4">
        <f t="shared" si="0"/>
        <v>3359.88</v>
      </c>
      <c r="L35">
        <v>24</v>
      </c>
      <c r="M35">
        <f>VLOOKUP(L35,Regolamento!A:B,2,1)</f>
        <v>17</v>
      </c>
      <c r="N35" s="4">
        <f t="shared" si="1"/>
        <v>1.54</v>
      </c>
      <c r="O35" s="4">
        <f t="shared" si="2"/>
        <v>1.37</v>
      </c>
      <c r="P35" s="6">
        <f t="shared" si="3"/>
        <v>35.866600000000005</v>
      </c>
      <c r="R35" s="6">
        <f t="shared" si="4"/>
        <v>61</v>
      </c>
    </row>
    <row r="36" spans="1:18" x14ac:dyDescent="0.25">
      <c r="A36" s="8" t="s">
        <v>380</v>
      </c>
      <c r="B36" s="12" t="str">
        <f>VLOOKUP(A36,concorrenti!A:B,2,0)</f>
        <v>GAMS</v>
      </c>
      <c r="C36" s="12">
        <f>VLOOKUP(A36,concorrenti!A:E,5,1)</f>
        <v>0</v>
      </c>
      <c r="D36" t="s">
        <v>231</v>
      </c>
      <c r="E36" t="s">
        <v>561</v>
      </c>
      <c r="F36">
        <v>1966</v>
      </c>
      <c r="H36">
        <v>2349</v>
      </c>
      <c r="I36" s="4">
        <f t="shared" si="6"/>
        <v>1.6600000000000001</v>
      </c>
      <c r="J36" s="4">
        <f t="shared" si="0"/>
        <v>3899.34</v>
      </c>
      <c r="L36">
        <v>25</v>
      </c>
      <c r="M36">
        <f>VLOOKUP(L36,Regolamento!A:B,2,1)</f>
        <v>16</v>
      </c>
      <c r="N36" s="4">
        <f t="shared" si="1"/>
        <v>1.54</v>
      </c>
      <c r="O36" s="4">
        <f t="shared" si="2"/>
        <v>1.37</v>
      </c>
      <c r="P36" s="6">
        <f t="shared" si="3"/>
        <v>33.756800000000005</v>
      </c>
      <c r="R36" s="6">
        <f t="shared" si="4"/>
        <v>43.5</v>
      </c>
    </row>
    <row r="37" spans="1:18" x14ac:dyDescent="0.25">
      <c r="A37" s="8" t="s">
        <v>457</v>
      </c>
      <c r="B37" s="12" t="str">
        <f>VLOOKUP(A37,concorrenti!A:B,2,0)</f>
        <v>GAMS</v>
      </c>
      <c r="C37" s="12">
        <f>VLOOKUP(A37,concorrenti!A:E,5,1)</f>
        <v>0</v>
      </c>
      <c r="D37" t="s">
        <v>232</v>
      </c>
      <c r="E37" t="s">
        <v>281</v>
      </c>
      <c r="F37">
        <v>1946</v>
      </c>
      <c r="H37">
        <v>2704</v>
      </c>
      <c r="I37" s="4">
        <f t="shared" si="6"/>
        <v>1.46</v>
      </c>
      <c r="J37" s="4">
        <f t="shared" si="0"/>
        <v>3947.8399999999997</v>
      </c>
      <c r="L37">
        <v>26</v>
      </c>
      <c r="M37">
        <f>VLOOKUP(L37,Regolamento!A:B,2,1)</f>
        <v>15</v>
      </c>
      <c r="N37" s="4">
        <f t="shared" si="1"/>
        <v>1.54</v>
      </c>
      <c r="O37" s="4">
        <f t="shared" si="2"/>
        <v>1.37</v>
      </c>
      <c r="P37" s="6">
        <f t="shared" si="3"/>
        <v>31.647000000000006</v>
      </c>
      <c r="R37" s="6">
        <f t="shared" si="4"/>
        <v>50.074074074074076</v>
      </c>
    </row>
    <row r="38" spans="1:18" x14ac:dyDescent="0.25">
      <c r="A38" s="9" t="s">
        <v>564</v>
      </c>
      <c r="B38" s="12" t="str">
        <f>VLOOKUP(A38,concorrenti!A:B,2,0)</f>
        <v>VALTELLINA</v>
      </c>
      <c r="C38" s="12">
        <f>VLOOKUP(A38,concorrenti!A:E,5,1)</f>
        <v>0</v>
      </c>
      <c r="D38" t="s">
        <v>121</v>
      </c>
      <c r="E38" t="s">
        <v>273</v>
      </c>
      <c r="F38">
        <v>1957</v>
      </c>
      <c r="G38" s="9"/>
      <c r="H38">
        <v>5472</v>
      </c>
      <c r="I38" s="4">
        <f t="shared" si="6"/>
        <v>1.5699999999999998</v>
      </c>
      <c r="J38" s="4">
        <f t="shared" si="0"/>
        <v>8591.0399999999991</v>
      </c>
      <c r="L38">
        <v>27</v>
      </c>
      <c r="M38">
        <f>VLOOKUP(L38,Regolamento!A:B,2,1)</f>
        <v>14</v>
      </c>
      <c r="N38" s="4">
        <f t="shared" si="1"/>
        <v>1.54</v>
      </c>
      <c r="O38" s="4">
        <f t="shared" si="2"/>
        <v>1.37</v>
      </c>
      <c r="P38" s="6">
        <f t="shared" si="3"/>
        <v>29.537200000000006</v>
      </c>
      <c r="R38" s="6">
        <f t="shared" si="4"/>
        <v>101.33333333333333</v>
      </c>
    </row>
    <row r="39" spans="1:18" x14ac:dyDescent="0.25">
      <c r="A39" s="8" t="s">
        <v>454</v>
      </c>
      <c r="B39" s="12" t="str">
        <f>VLOOKUP(A39,concorrenti!A:B,2,0)</f>
        <v>CAVEM</v>
      </c>
      <c r="C39" s="12">
        <f>VLOOKUP(A39,concorrenti!A:E,5,1)</f>
        <v>0</v>
      </c>
      <c r="D39" t="s">
        <v>241</v>
      </c>
      <c r="E39" t="s">
        <v>563</v>
      </c>
      <c r="F39">
        <v>1954</v>
      </c>
      <c r="H39">
        <v>4082</v>
      </c>
      <c r="I39" s="4">
        <f>2+RIGHT(F39,2)/100</f>
        <v>2.54</v>
      </c>
      <c r="J39" s="4">
        <f t="shared" si="0"/>
        <v>10368.280000000001</v>
      </c>
      <c r="L39">
        <v>28</v>
      </c>
      <c r="M39">
        <f>VLOOKUP(L39,Regolamento!A:B,2,1)</f>
        <v>13</v>
      </c>
      <c r="N39" s="4">
        <f t="shared" ref="N39" si="7">1+E$5/100</f>
        <v>1.54</v>
      </c>
      <c r="O39" s="4">
        <f t="shared" ref="O39" si="8">1+E$6/100</f>
        <v>1.37</v>
      </c>
      <c r="P39" s="6">
        <f t="shared" ref="P39" si="9">IF(H39&lt;&gt;0,+M39*N39*O39,0)</f>
        <v>27.427400000000002</v>
      </c>
      <c r="R39" s="6">
        <f t="shared" si="4"/>
        <v>75.592592592592595</v>
      </c>
    </row>
    <row r="41" spans="1:18" x14ac:dyDescent="0.25">
      <c r="P41" s="10">
        <f>SUM(P12:P40)</f>
        <v>1607.6676000000004</v>
      </c>
    </row>
    <row r="42" spans="1:18" x14ac:dyDescent="0.25">
      <c r="P42" s="10">
        <f>+P41-Generale!N3</f>
        <v>0</v>
      </c>
    </row>
  </sheetData>
  <sheetProtection algorithmName="SHA-512" hashValue="BGZsbS7PkM4AQMzZksVBmJOwPldXMFclLOE8qmaxsnl6sd1/X/Wf0k1rsJKKbODw6RaNY5kT4hXlV0bF+ggmBg==" saltValue="ue3W6K5u3nTYSK65juawTw==" spinCount="100000" sheet="1" objects="1" scenarios="1"/>
  <sortState xmlns:xlrd2="http://schemas.microsoft.com/office/spreadsheetml/2017/richdata2" ref="A12:J39">
    <sortCondition ref="J12:J39"/>
  </sortState>
  <mergeCells count="3">
    <mergeCell ref="H1:P1"/>
    <mergeCell ref="H8:J8"/>
    <mergeCell ref="N8:O8"/>
  </mergeCells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Generale</vt:lpstr>
      <vt:lpstr>Nora Sciplino</vt:lpstr>
      <vt:lpstr>Castellotti</vt:lpstr>
      <vt:lpstr>Solidarietà</vt:lpstr>
      <vt:lpstr>Gallarate</vt:lpstr>
      <vt:lpstr>Giro del Lario</vt:lpstr>
      <vt:lpstr>Campo dei Fiori</vt:lpstr>
      <vt:lpstr>Erba Ghisallo</vt:lpstr>
      <vt:lpstr>Ambrosiano</vt:lpstr>
      <vt:lpstr>Presolana</vt:lpstr>
      <vt:lpstr>concorrenti</vt:lpstr>
      <vt:lpstr>Regolamento</vt:lpstr>
    </vt:vector>
  </TitlesOfParts>
  <Company>Gaalf Studio Associato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Giorgio</dc:creator>
  <cp:lastModifiedBy>Giorgio</cp:lastModifiedBy>
  <dcterms:created xsi:type="dcterms:W3CDTF">2017-06-22T12:54:28Z</dcterms:created>
  <dcterms:modified xsi:type="dcterms:W3CDTF">2023-12-05T13:25:37Z</dcterms:modified>
</cp:coreProperties>
</file>